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4.xml" ContentType="application/vnd.openxmlformats-officedocument.drawingml.chartshap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defaultThemeVersion="124226"/>
  <xr:revisionPtr revIDLastSave="0" documentId="13_ncr:1_{6412460F-0A4E-4BCB-B066-1DF8091CF3BB}" xr6:coauthVersionLast="45" xr6:coauthVersionMax="45" xr10:uidLastSave="{00000000-0000-0000-0000-000000000000}"/>
  <bookViews>
    <workbookView xWindow="-120" yWindow="-120" windowWidth="29040" windowHeight="15840" tabRatio="777" xr2:uid="{00000000-000D-0000-FFFF-FFFF00000000}"/>
  </bookViews>
  <sheets>
    <sheet name="Information " sheetId="37" r:id="rId1"/>
    <sheet name="Annual Summary" sheetId="46" r:id="rId2"/>
    <sheet name="Adjust Load Profile" sheetId="51" r:id="rId3"/>
    <sheet name="Site Data Input" sheetId="44" r:id="rId4"/>
    <sheet name="Year 2020" sheetId="47" state="hidden" r:id="rId5"/>
    <sheet name="Year 2019" sheetId="32" state="hidden" r:id="rId6"/>
    <sheet name="Year 2018" sheetId="48" state="hidden" r:id="rId7"/>
    <sheet name="Year 2017" sheetId="49" state="hidden" r:id="rId8"/>
    <sheet name="Year 2016" sheetId="50" state="hidden" r:id="rId9"/>
    <sheet name="Lookup" sheetId="43" state="hidden" r:id="rId10"/>
  </sheets>
  <definedNames>
    <definedName name="_xlnm._FilterDatabase" localSheetId="3" hidden="1">'Site Data Input'!$A$1:$R$6</definedName>
    <definedName name="AccountID">'Site Data Input'!$D$2</definedName>
    <definedName name="AESOTariff">Lookup!$C$1:$Z$1</definedName>
    <definedName name="ParticipantName">'Site Data Input'!$B$2</definedName>
    <definedName name="PreparationDate" localSheetId="2">'Adjust Load Profile'!$C$4:$E$4</definedName>
    <definedName name="PreparationDate" localSheetId="1">'Annual Summary'!$C$12:$K$12</definedName>
    <definedName name="PreparationDate" localSheetId="8">'Year 2016'!$C$4:$E$4</definedName>
    <definedName name="PreparationDate" localSheetId="7">'Year 2017'!$C$4:$E$4</definedName>
    <definedName name="PreparationDate" localSheetId="6">'Year 2018'!$C$4:$E$4</definedName>
    <definedName name="PreparationDate" localSheetId="4">'Year 2020'!$C$4:$E$4</definedName>
    <definedName name="PreparationDate">'Year 2019'!$C$4:$E$4</definedName>
    <definedName name="PrimaryServiceCredit" localSheetId="2">'Adjust Load Profile'!$H$13</definedName>
    <definedName name="PrimaryServiceCredit" localSheetId="1">'Annual Summary'!$N$27</definedName>
    <definedName name="PrimaryServiceCredit" localSheetId="8">'Year 2016'!$H$13</definedName>
    <definedName name="PrimaryServiceCredit" localSheetId="7">'Year 2017'!$H$13</definedName>
    <definedName name="PrimaryServiceCredit" localSheetId="6">'Year 2018'!$H$13</definedName>
    <definedName name="PrimaryServiceCredit" localSheetId="4">'Year 2020'!$H$13</definedName>
    <definedName name="PrimaryServiceCredit">'Year 2019'!$H$13</definedName>
    <definedName name="_xlnm.Print_Area" localSheetId="2">'Adjust Load Profile'!$A$1:$J$67</definedName>
    <definedName name="_xlnm.Print_Area" localSheetId="1">'Annual Summary'!$A$1:$P$27</definedName>
    <definedName name="_xlnm.Print_Area" localSheetId="0">'Information '!$A$1:$G$67</definedName>
    <definedName name="_xlnm.Print_Area" localSheetId="8">'Year 2016'!$A$1:$J$67</definedName>
    <definedName name="_xlnm.Print_Area" localSheetId="7">'Year 2017'!$A$1:$J$67</definedName>
    <definedName name="_xlnm.Print_Area" localSheetId="6">'Year 2018'!$A$1:$J$67</definedName>
    <definedName name="_xlnm.Print_Area" localSheetId="5">'Year 2019'!$A$1:$J$67</definedName>
    <definedName name="_xlnm.Print_Area" localSheetId="4">'Year 2020'!$A$1:$J$67</definedName>
    <definedName name="SiteDescription">'Site Data Input'!$C$2</definedName>
    <definedName name="Year_hours">Lookup!$B$29:$C$34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2" i="51" l="1"/>
  <c r="H22" i="51" l="1"/>
  <c r="H22" i="50"/>
  <c r="H22" i="49"/>
  <c r="H22" i="48"/>
  <c r="H22" i="32"/>
  <c r="H22" i="47"/>
  <c r="J63" i="51" l="1"/>
  <c r="H19" i="51"/>
  <c r="H21" i="51"/>
  <c r="H20" i="51"/>
  <c r="H17" i="51"/>
  <c r="G17" i="51" s="1"/>
  <c r="G16" i="51"/>
  <c r="H16" i="51" s="1"/>
  <c r="G15" i="51"/>
  <c r="H15" i="51" s="1"/>
  <c r="G14" i="51"/>
  <c r="H14" i="51" s="1"/>
  <c r="H13" i="51"/>
  <c r="H12" i="51"/>
  <c r="J63" i="47"/>
  <c r="J63" i="32"/>
  <c r="J63" i="48"/>
  <c r="J63" i="49"/>
  <c r="H19" i="47"/>
  <c r="H21" i="47"/>
  <c r="H20" i="47"/>
  <c r="H17" i="47"/>
  <c r="G16" i="47"/>
  <c r="H16" i="47" s="1"/>
  <c r="G15" i="47"/>
  <c r="H15" i="47" s="1"/>
  <c r="G14" i="47"/>
  <c r="H14" i="47" s="1"/>
  <c r="H13" i="47"/>
  <c r="H12" i="47"/>
  <c r="H19" i="32"/>
  <c r="H21" i="32"/>
  <c r="H20" i="32"/>
  <c r="H17" i="32"/>
  <c r="G17" i="32" s="1"/>
  <c r="G16" i="32"/>
  <c r="H16" i="32" s="1"/>
  <c r="G15" i="32"/>
  <c r="H15" i="32" s="1"/>
  <c r="G14" i="32"/>
  <c r="H14" i="32" s="1"/>
  <c r="H13" i="32"/>
  <c r="H12" i="32"/>
  <c r="H19" i="48"/>
  <c r="H21" i="48"/>
  <c r="H20" i="48"/>
  <c r="H17" i="48"/>
  <c r="G17" i="48" s="1"/>
  <c r="G16" i="48"/>
  <c r="H16" i="48" s="1"/>
  <c r="G15" i="48"/>
  <c r="H15" i="48" s="1"/>
  <c r="G14" i="48"/>
  <c r="H14" i="48" s="1"/>
  <c r="H13" i="48"/>
  <c r="H12" i="48"/>
  <c r="H19" i="49"/>
  <c r="H21" i="49"/>
  <c r="H20" i="49"/>
  <c r="H17" i="49"/>
  <c r="G17" i="49" s="1"/>
  <c r="G16" i="49"/>
  <c r="G15" i="49"/>
  <c r="H15" i="49" s="1"/>
  <c r="G14" i="49"/>
  <c r="H13" i="49"/>
  <c r="H12" i="49"/>
  <c r="J63" i="50"/>
  <c r="H13" i="50"/>
  <c r="H12" i="50"/>
  <c r="H21" i="50"/>
  <c r="H20" i="50"/>
  <c r="H17" i="50"/>
  <c r="G16" i="50"/>
  <c r="G15" i="50"/>
  <c r="G14" i="50"/>
  <c r="F17" i="49" l="1"/>
  <c r="F15" i="51"/>
  <c r="H18" i="47"/>
  <c r="G18" i="47" s="1"/>
  <c r="H18" i="49"/>
  <c r="G18" i="49" s="1"/>
  <c r="H14" i="49"/>
  <c r="F15" i="49" s="1"/>
  <c r="F15" i="32"/>
  <c r="F15" i="47"/>
  <c r="F17" i="51"/>
  <c r="F17" i="47"/>
  <c r="F15" i="48"/>
  <c r="F17" i="48"/>
  <c r="H18" i="51"/>
  <c r="G18" i="51" s="1"/>
  <c r="H18" i="48"/>
  <c r="G18" i="48" s="1"/>
  <c r="H16" i="49"/>
  <c r="G17" i="47"/>
  <c r="H18" i="32"/>
  <c r="G18" i="32" s="1"/>
  <c r="F17" i="32"/>
  <c r="C2" i="46" l="1"/>
  <c r="A36" i="46"/>
  <c r="A26" i="46"/>
  <c r="N13" i="32" l="1"/>
  <c r="N13" i="48"/>
  <c r="N13" i="51"/>
  <c r="H49" i="51"/>
  <c r="N14" i="51"/>
  <c r="H53" i="51"/>
  <c r="N21" i="48"/>
  <c r="H49" i="48"/>
  <c r="N21" i="49"/>
  <c r="N20" i="49"/>
  <c r="N49" i="49" s="1"/>
  <c r="N22" i="50"/>
  <c r="N21" i="50"/>
  <c r="H49" i="50"/>
  <c r="E42" i="32"/>
  <c r="N21" i="32"/>
  <c r="N20" i="32"/>
  <c r="N49" i="32" s="1"/>
  <c r="N21" i="47"/>
  <c r="N20" i="47"/>
  <c r="N49" i="47" s="1"/>
  <c r="O44" i="51"/>
  <c r="F30" i="51"/>
  <c r="I44" i="48"/>
  <c r="I44" i="49"/>
  <c r="I44" i="50"/>
  <c r="I44" i="32"/>
  <c r="I44" i="47"/>
  <c r="O44" i="47"/>
  <c r="O44" i="32"/>
  <c r="O44" i="48"/>
  <c r="O44" i="49"/>
  <c r="F28" i="50"/>
  <c r="O44" i="50"/>
  <c r="F53" i="51"/>
  <c r="L53" i="51"/>
  <c r="F54" i="51"/>
  <c r="L54" i="51"/>
  <c r="F55" i="51"/>
  <c r="L55" i="51"/>
  <c r="F56" i="51"/>
  <c r="L56" i="51"/>
  <c r="F57" i="51"/>
  <c r="L57" i="51"/>
  <c r="F28" i="51"/>
  <c r="I28" i="51"/>
  <c r="L28" i="51"/>
  <c r="O28" i="51"/>
  <c r="I30" i="51"/>
  <c r="L30" i="51"/>
  <c r="O30" i="51"/>
  <c r="I32" i="51"/>
  <c r="I54" i="51"/>
  <c r="O32" i="51"/>
  <c r="F34" i="51"/>
  <c r="L34" i="51"/>
  <c r="F35" i="51"/>
  <c r="I35" i="51"/>
  <c r="L35" i="51"/>
  <c r="O35" i="51"/>
  <c r="F36" i="51"/>
  <c r="I36" i="51"/>
  <c r="L36" i="51"/>
  <c r="O36" i="51"/>
  <c r="F37" i="51"/>
  <c r="I37" i="51"/>
  <c r="L37" i="51"/>
  <c r="O37" i="51"/>
  <c r="F38" i="51"/>
  <c r="I38" i="51"/>
  <c r="L38" i="51"/>
  <c r="O38" i="51"/>
  <c r="I42" i="51"/>
  <c r="O42" i="51"/>
  <c r="F44" i="51"/>
  <c r="I44" i="51"/>
  <c r="L44" i="51"/>
  <c r="F46" i="51"/>
  <c r="I46" i="51"/>
  <c r="L46" i="51"/>
  <c r="O46" i="51"/>
  <c r="F48" i="51"/>
  <c r="I48" i="51"/>
  <c r="L48" i="51"/>
  <c r="O48" i="51"/>
  <c r="F49" i="51"/>
  <c r="I49" i="51"/>
  <c r="L49" i="51"/>
  <c r="O49" i="51"/>
  <c r="C1" i="51"/>
  <c r="C2" i="51"/>
  <c r="C3" i="51"/>
  <c r="C4" i="51"/>
  <c r="I55" i="51"/>
  <c r="I57" i="51"/>
  <c r="I56" i="51"/>
  <c r="H53" i="50"/>
  <c r="N17" i="47"/>
  <c r="N63" i="47" s="1"/>
  <c r="H42" i="32"/>
  <c r="H46" i="49"/>
  <c r="H24" i="46"/>
  <c r="H34" i="47"/>
  <c r="H28" i="32"/>
  <c r="H53" i="32"/>
  <c r="C22" i="46"/>
  <c r="N15" i="48"/>
  <c r="N28" i="48" s="1"/>
  <c r="H34" i="48"/>
  <c r="E21" i="46"/>
  <c r="H34" i="49"/>
  <c r="G20" i="46"/>
  <c r="H16" i="50"/>
  <c r="H15" i="50"/>
  <c r="H28" i="50" s="1"/>
  <c r="J28" i="50" s="1"/>
  <c r="L57" i="50"/>
  <c r="F57" i="50"/>
  <c r="L56" i="50"/>
  <c r="F56" i="50"/>
  <c r="L55" i="50"/>
  <c r="F55" i="50"/>
  <c r="L54" i="50"/>
  <c r="F54" i="50"/>
  <c r="L53" i="50"/>
  <c r="F53" i="50"/>
  <c r="O49" i="50"/>
  <c r="L49" i="50"/>
  <c r="I49" i="50"/>
  <c r="F49" i="50"/>
  <c r="O48" i="50"/>
  <c r="L48" i="50"/>
  <c r="I48" i="50"/>
  <c r="F48" i="50"/>
  <c r="O46" i="50"/>
  <c r="L46" i="50"/>
  <c r="I46" i="50"/>
  <c r="F46" i="50"/>
  <c r="L44" i="50"/>
  <c r="F44" i="50"/>
  <c r="O42" i="50"/>
  <c r="I42" i="50"/>
  <c r="O38" i="50"/>
  <c r="L38" i="50"/>
  <c r="I38" i="50"/>
  <c r="F38" i="50"/>
  <c r="O37" i="50"/>
  <c r="L37" i="50"/>
  <c r="I37" i="50"/>
  <c r="F37" i="50"/>
  <c r="O36" i="50"/>
  <c r="L36" i="50"/>
  <c r="I36" i="50"/>
  <c r="F36" i="50"/>
  <c r="O35" i="50"/>
  <c r="L35" i="50"/>
  <c r="I35" i="50"/>
  <c r="F35" i="50"/>
  <c r="L34" i="50"/>
  <c r="F34" i="50"/>
  <c r="O32" i="50"/>
  <c r="O57" i="50"/>
  <c r="L32" i="50"/>
  <c r="I32" i="50"/>
  <c r="I56" i="50" s="1"/>
  <c r="O30" i="50"/>
  <c r="L30" i="50"/>
  <c r="I30" i="50"/>
  <c r="F30" i="50"/>
  <c r="O28" i="50"/>
  <c r="L28" i="50"/>
  <c r="I28" i="50"/>
  <c r="F42" i="50"/>
  <c r="L42" i="50" s="1"/>
  <c r="C4" i="50"/>
  <c r="C3" i="50"/>
  <c r="C2" i="50"/>
  <c r="C1" i="50"/>
  <c r="L57" i="49"/>
  <c r="F57" i="49"/>
  <c r="L56" i="49"/>
  <c r="F56" i="49"/>
  <c r="L55" i="49"/>
  <c r="F55" i="49"/>
  <c r="L54" i="49"/>
  <c r="F54" i="49"/>
  <c r="L53" i="49"/>
  <c r="F53" i="49"/>
  <c r="O49" i="49"/>
  <c r="L49" i="49"/>
  <c r="I49" i="49"/>
  <c r="F49" i="49"/>
  <c r="O48" i="49"/>
  <c r="L48" i="49"/>
  <c r="I48" i="49"/>
  <c r="F48" i="49"/>
  <c r="O46" i="49"/>
  <c r="L46" i="49"/>
  <c r="I46" i="49"/>
  <c r="F46" i="49"/>
  <c r="L44" i="49"/>
  <c r="F44" i="49"/>
  <c r="O42" i="49"/>
  <c r="I42" i="49"/>
  <c r="O38" i="49"/>
  <c r="L38" i="49"/>
  <c r="I38" i="49"/>
  <c r="F38" i="49"/>
  <c r="O37" i="49"/>
  <c r="L37" i="49"/>
  <c r="I37" i="49"/>
  <c r="F37" i="49"/>
  <c r="O36" i="49"/>
  <c r="L36" i="49"/>
  <c r="I36" i="49"/>
  <c r="F36" i="49"/>
  <c r="O35" i="49"/>
  <c r="L35" i="49"/>
  <c r="I35" i="49"/>
  <c r="F35" i="49"/>
  <c r="L34" i="49"/>
  <c r="F34" i="49"/>
  <c r="O32" i="49"/>
  <c r="L32" i="49"/>
  <c r="I32" i="49"/>
  <c r="O30" i="49"/>
  <c r="L30" i="49"/>
  <c r="I30" i="49"/>
  <c r="F30" i="49"/>
  <c r="O28" i="49"/>
  <c r="L28" i="49"/>
  <c r="I28" i="49"/>
  <c r="F28" i="49"/>
  <c r="F42" i="49"/>
  <c r="L42" i="49" s="1"/>
  <c r="C4" i="49"/>
  <c r="C3" i="49"/>
  <c r="C2" i="49"/>
  <c r="C1" i="49"/>
  <c r="L57" i="48"/>
  <c r="F57" i="48"/>
  <c r="L56" i="48"/>
  <c r="F56" i="48"/>
  <c r="L55" i="48"/>
  <c r="F55" i="48"/>
  <c r="L54" i="48"/>
  <c r="F54" i="48"/>
  <c r="L53" i="48"/>
  <c r="F53" i="48"/>
  <c r="O49" i="48"/>
  <c r="L49" i="48"/>
  <c r="I49" i="48"/>
  <c r="F49" i="48"/>
  <c r="O48" i="48"/>
  <c r="L48" i="48"/>
  <c r="I48" i="48"/>
  <c r="F48" i="48"/>
  <c r="O46" i="48"/>
  <c r="L46" i="48"/>
  <c r="I46" i="48"/>
  <c r="F46" i="48"/>
  <c r="L44" i="48"/>
  <c r="F44" i="48"/>
  <c r="O42" i="48"/>
  <c r="I42" i="48"/>
  <c r="O38" i="48"/>
  <c r="L38" i="48"/>
  <c r="I38" i="48"/>
  <c r="F38" i="48"/>
  <c r="O37" i="48"/>
  <c r="L37" i="48"/>
  <c r="I37" i="48"/>
  <c r="F37" i="48"/>
  <c r="O36" i="48"/>
  <c r="L36" i="48"/>
  <c r="I36" i="48"/>
  <c r="F36" i="48"/>
  <c r="O35" i="48"/>
  <c r="L35" i="48"/>
  <c r="I35" i="48"/>
  <c r="F35" i="48"/>
  <c r="L34" i="48"/>
  <c r="F34" i="48"/>
  <c r="O32" i="48"/>
  <c r="L32" i="48"/>
  <c r="I32" i="48"/>
  <c r="O30" i="48"/>
  <c r="L30" i="48"/>
  <c r="I30" i="48"/>
  <c r="F30" i="48"/>
  <c r="O28" i="48"/>
  <c r="L28" i="48"/>
  <c r="I28" i="48"/>
  <c r="F28" i="48"/>
  <c r="C4" i="48"/>
  <c r="C3" i="48"/>
  <c r="C2" i="48"/>
  <c r="C1" i="48"/>
  <c r="L57" i="47"/>
  <c r="F57" i="47"/>
  <c r="L56" i="47"/>
  <c r="F56" i="47"/>
  <c r="L55" i="47"/>
  <c r="F55" i="47"/>
  <c r="L54" i="47"/>
  <c r="F54" i="47"/>
  <c r="L53" i="47"/>
  <c r="F53" i="47"/>
  <c r="O49" i="47"/>
  <c r="L49" i="47"/>
  <c r="I49" i="47"/>
  <c r="F49" i="47"/>
  <c r="O48" i="47"/>
  <c r="L48" i="47"/>
  <c r="I48" i="47"/>
  <c r="F48" i="47"/>
  <c r="O46" i="47"/>
  <c r="L46" i="47"/>
  <c r="I46" i="47"/>
  <c r="F46" i="47"/>
  <c r="L44" i="47"/>
  <c r="F44" i="47"/>
  <c r="O42" i="47"/>
  <c r="I42" i="47"/>
  <c r="O38" i="47"/>
  <c r="L38" i="47"/>
  <c r="I38" i="47"/>
  <c r="F38" i="47"/>
  <c r="O37" i="47"/>
  <c r="L37" i="47"/>
  <c r="I37" i="47"/>
  <c r="F37" i="47"/>
  <c r="O36" i="47"/>
  <c r="L36" i="47"/>
  <c r="I36" i="47"/>
  <c r="F36" i="47"/>
  <c r="O35" i="47"/>
  <c r="L35" i="47"/>
  <c r="I35" i="47"/>
  <c r="F35" i="47"/>
  <c r="L34" i="47"/>
  <c r="F34" i="47"/>
  <c r="O32" i="47"/>
  <c r="O57" i="47"/>
  <c r="L32" i="47"/>
  <c r="I32" i="47"/>
  <c r="I57" i="47" s="1"/>
  <c r="O30" i="47"/>
  <c r="L30" i="47"/>
  <c r="I30" i="47"/>
  <c r="F30" i="47"/>
  <c r="O28" i="47"/>
  <c r="L28" i="47"/>
  <c r="I28" i="47"/>
  <c r="F28" i="47"/>
  <c r="C4" i="47"/>
  <c r="C3" i="47"/>
  <c r="C2" i="47"/>
  <c r="C1" i="47"/>
  <c r="C4" i="46"/>
  <c r="C3" i="46"/>
  <c r="C1" i="46"/>
  <c r="C2" i="32"/>
  <c r="C1" i="32"/>
  <c r="C4" i="32"/>
  <c r="L57" i="32"/>
  <c r="L56" i="32"/>
  <c r="L55" i="32"/>
  <c r="L54" i="32"/>
  <c r="L53" i="32"/>
  <c r="F57" i="32"/>
  <c r="F56" i="32"/>
  <c r="F55" i="32"/>
  <c r="F54" i="32"/>
  <c r="F53" i="32"/>
  <c r="I57" i="50"/>
  <c r="I54" i="50"/>
  <c r="I55" i="50"/>
  <c r="O54" i="50"/>
  <c r="O55" i="50"/>
  <c r="O56" i="50"/>
  <c r="C21" i="46"/>
  <c r="O54" i="49"/>
  <c r="O55" i="49"/>
  <c r="N13" i="47"/>
  <c r="O54" i="47"/>
  <c r="O55" i="47"/>
  <c r="O56" i="47"/>
  <c r="J7" i="43"/>
  <c r="F32" i="49" s="1"/>
  <c r="F32" i="47"/>
  <c r="L32" i="32"/>
  <c r="L30" i="32"/>
  <c r="L28" i="32"/>
  <c r="F28" i="32"/>
  <c r="L46" i="32"/>
  <c r="O37" i="32"/>
  <c r="O28" i="32"/>
  <c r="O48" i="32"/>
  <c r="O46" i="32"/>
  <c r="O32" i="32"/>
  <c r="O38" i="32"/>
  <c r="O42" i="32"/>
  <c r="O36" i="32"/>
  <c r="O49" i="32"/>
  <c r="L48" i="32"/>
  <c r="L35" i="32"/>
  <c r="L34" i="32"/>
  <c r="L36" i="32"/>
  <c r="L44" i="32"/>
  <c r="L49" i="32"/>
  <c r="L37" i="32"/>
  <c r="L38" i="32"/>
  <c r="O30" i="32"/>
  <c r="O35" i="32"/>
  <c r="O56" i="32"/>
  <c r="O55" i="32"/>
  <c r="I48" i="32"/>
  <c r="I38" i="32"/>
  <c r="I28" i="32"/>
  <c r="C3" i="32"/>
  <c r="I46" i="32"/>
  <c r="I32" i="32"/>
  <c r="F37" i="32"/>
  <c r="F32" i="32"/>
  <c r="I49" i="32"/>
  <c r="F30" i="32"/>
  <c r="I36" i="32"/>
  <c r="I35" i="32"/>
  <c r="I30" i="32"/>
  <c r="I37" i="32"/>
  <c r="I42" i="32"/>
  <c r="F49" i="32"/>
  <c r="F35" i="32"/>
  <c r="F38" i="32"/>
  <c r="F44" i="32"/>
  <c r="F48" i="32"/>
  <c r="F46" i="32"/>
  <c r="F36" i="32"/>
  <c r="F34" i="32"/>
  <c r="N21" i="51"/>
  <c r="H46" i="32"/>
  <c r="G24" i="46"/>
  <c r="H48" i="51"/>
  <c r="H44" i="47"/>
  <c r="H34" i="51"/>
  <c r="H49" i="47"/>
  <c r="N12" i="51"/>
  <c r="N53" i="51" s="1"/>
  <c r="I54" i="47"/>
  <c r="I55" i="47"/>
  <c r="I56" i="47"/>
  <c r="N13" i="50"/>
  <c r="N22" i="49"/>
  <c r="F42" i="32"/>
  <c r="L42" i="32" s="1"/>
  <c r="N22" i="32"/>
  <c r="F32" i="51"/>
  <c r="J46" i="32" l="1"/>
  <c r="J48" i="51"/>
  <c r="P49" i="32"/>
  <c r="J49" i="48"/>
  <c r="J44" i="47"/>
  <c r="J34" i="49"/>
  <c r="J49" i="51"/>
  <c r="H19" i="50"/>
  <c r="E42" i="50" s="1"/>
  <c r="P49" i="49"/>
  <c r="P28" i="48"/>
  <c r="N48" i="51"/>
  <c r="P48" i="51" s="1"/>
  <c r="H32" i="32"/>
  <c r="J32" i="32" s="1"/>
  <c r="N17" i="51"/>
  <c r="N14" i="47"/>
  <c r="N48" i="47" s="1"/>
  <c r="P48" i="47" s="1"/>
  <c r="G23" i="46"/>
  <c r="H49" i="49"/>
  <c r="J49" i="49" s="1"/>
  <c r="N17" i="32"/>
  <c r="N63" i="32" s="1"/>
  <c r="P63" i="32" s="1"/>
  <c r="H44" i="32"/>
  <c r="J44" i="32" s="1"/>
  <c r="J53" i="51"/>
  <c r="N19" i="32"/>
  <c r="N12" i="48"/>
  <c r="N34" i="48" s="1"/>
  <c r="P34" i="48" s="1"/>
  <c r="H53" i="48"/>
  <c r="J53" i="48" s="1"/>
  <c r="N17" i="49"/>
  <c r="N42" i="49" s="1"/>
  <c r="H32" i="49"/>
  <c r="J32" i="49" s="1"/>
  <c r="J34" i="48"/>
  <c r="N20" i="51"/>
  <c r="N49" i="51" s="1"/>
  <c r="P49" i="51" s="1"/>
  <c r="H42" i="50"/>
  <c r="G17" i="50"/>
  <c r="H46" i="50"/>
  <c r="J46" i="50" s="1"/>
  <c r="G21" i="46"/>
  <c r="H48" i="47"/>
  <c r="J48" i="47" s="1"/>
  <c r="H34" i="32"/>
  <c r="J34" i="32" s="1"/>
  <c r="N15" i="32"/>
  <c r="N28" i="32" s="1"/>
  <c r="P28" i="32" s="1"/>
  <c r="H32" i="47"/>
  <c r="J32" i="47" s="1"/>
  <c r="N12" i="32"/>
  <c r="N34" i="32" s="1"/>
  <c r="P34" i="32" s="1"/>
  <c r="H23" i="46"/>
  <c r="P63" i="47"/>
  <c r="H30" i="47"/>
  <c r="J30" i="47" s="1"/>
  <c r="N16" i="48"/>
  <c r="H44" i="48"/>
  <c r="J44" i="48" s="1"/>
  <c r="N34" i="51"/>
  <c r="P34" i="51" s="1"/>
  <c r="N17" i="50"/>
  <c r="N63" i="50" s="1"/>
  <c r="P63" i="50" s="1"/>
  <c r="H42" i="47"/>
  <c r="H46" i="47"/>
  <c r="J46" i="47" s="1"/>
  <c r="H18" i="50"/>
  <c r="G18" i="50" s="1"/>
  <c r="H38" i="50" s="1"/>
  <c r="H57" i="50" s="1"/>
  <c r="J57" i="50" s="1"/>
  <c r="H42" i="48"/>
  <c r="H46" i="48"/>
  <c r="J46" i="48" s="1"/>
  <c r="N18" i="49"/>
  <c r="G22" i="46"/>
  <c r="H32" i="48"/>
  <c r="N17" i="48"/>
  <c r="N46" i="48" s="1"/>
  <c r="P46" i="48" s="1"/>
  <c r="H32" i="50"/>
  <c r="H44" i="50"/>
  <c r="J44" i="50" s="1"/>
  <c r="N16" i="51"/>
  <c r="H28" i="48"/>
  <c r="J28" i="48" s="1"/>
  <c r="N15" i="49"/>
  <c r="N28" i="49" s="1"/>
  <c r="P28" i="49" s="1"/>
  <c r="H49" i="32"/>
  <c r="J49" i="32" s="1"/>
  <c r="N46" i="47"/>
  <c r="P46" i="47" s="1"/>
  <c r="N42" i="47"/>
  <c r="H42" i="51"/>
  <c r="N20" i="50"/>
  <c r="N49" i="50" s="1"/>
  <c r="P49" i="50" s="1"/>
  <c r="N12" i="47"/>
  <c r="N20" i="48"/>
  <c r="N49" i="48" s="1"/>
  <c r="P49" i="48" s="1"/>
  <c r="N12" i="49"/>
  <c r="N34" i="49" s="1"/>
  <c r="P34" i="49" s="1"/>
  <c r="H46" i="51"/>
  <c r="J46" i="51" s="1"/>
  <c r="J34" i="47"/>
  <c r="P49" i="47"/>
  <c r="H44" i="51"/>
  <c r="J44" i="51" s="1"/>
  <c r="N32" i="47"/>
  <c r="P32" i="47" s="1"/>
  <c r="H53" i="49"/>
  <c r="J53" i="49" s="1"/>
  <c r="N44" i="47"/>
  <c r="P44" i="47" s="1"/>
  <c r="H32" i="51"/>
  <c r="J32" i="51" s="1"/>
  <c r="H53" i="47"/>
  <c r="J53" i="47" s="1"/>
  <c r="N14" i="32"/>
  <c r="N48" i="32" s="1"/>
  <c r="P48" i="32" s="1"/>
  <c r="H48" i="32"/>
  <c r="J48" i="32" s="1"/>
  <c r="O57" i="51"/>
  <c r="O56" i="51"/>
  <c r="N22" i="47"/>
  <c r="F42" i="47"/>
  <c r="L42" i="47" s="1"/>
  <c r="N15" i="50"/>
  <c r="N28" i="50" s="1"/>
  <c r="P28" i="50" s="1"/>
  <c r="O54" i="51"/>
  <c r="I55" i="32"/>
  <c r="I54" i="32"/>
  <c r="I57" i="32"/>
  <c r="I56" i="48"/>
  <c r="I57" i="48"/>
  <c r="I54" i="48"/>
  <c r="I55" i="48"/>
  <c r="H48" i="49"/>
  <c r="J48" i="49" s="1"/>
  <c r="N14" i="49"/>
  <c r="N48" i="49" s="1"/>
  <c r="P48" i="49" s="1"/>
  <c r="E22" i="46"/>
  <c r="F23" i="46"/>
  <c r="E23" i="46"/>
  <c r="N22" i="48"/>
  <c r="F42" i="48"/>
  <c r="L42" i="48" s="1"/>
  <c r="J53" i="32"/>
  <c r="H22" i="46"/>
  <c r="E24" i="46"/>
  <c r="N15" i="47"/>
  <c r="N28" i="47" s="1"/>
  <c r="P28" i="47" s="1"/>
  <c r="N16" i="49"/>
  <c r="O55" i="51"/>
  <c r="H28" i="47"/>
  <c r="J28" i="47" s="1"/>
  <c r="J49" i="50"/>
  <c r="F17" i="50"/>
  <c r="H20" i="46" s="1"/>
  <c r="H14" i="50"/>
  <c r="F21" i="46"/>
  <c r="H28" i="49"/>
  <c r="J28" i="49" s="1"/>
  <c r="N16" i="47"/>
  <c r="C24" i="46"/>
  <c r="N12" i="50"/>
  <c r="H34" i="50"/>
  <c r="J34" i="50" s="1"/>
  <c r="O54" i="48"/>
  <c r="O57" i="48"/>
  <c r="O56" i="48"/>
  <c r="O55" i="48"/>
  <c r="C20" i="46"/>
  <c r="N16" i="50"/>
  <c r="H42" i="49"/>
  <c r="H21" i="46"/>
  <c r="H44" i="49"/>
  <c r="J44" i="49" s="1"/>
  <c r="J42" i="32"/>
  <c r="E20" i="46"/>
  <c r="N19" i="49"/>
  <c r="E42" i="49"/>
  <c r="I55" i="49"/>
  <c r="I54" i="49"/>
  <c r="I56" i="49"/>
  <c r="I57" i="49"/>
  <c r="P53" i="51"/>
  <c r="H30" i="49"/>
  <c r="J30" i="49" s="1"/>
  <c r="I56" i="32"/>
  <c r="J28" i="32"/>
  <c r="J49" i="47"/>
  <c r="J46" i="49"/>
  <c r="N22" i="51"/>
  <c r="F42" i="51"/>
  <c r="L42" i="51" s="1"/>
  <c r="H28" i="51"/>
  <c r="J28" i="51" s="1"/>
  <c r="N15" i="51"/>
  <c r="L15" i="51" s="1"/>
  <c r="J53" i="50"/>
  <c r="O54" i="32"/>
  <c r="O57" i="32"/>
  <c r="O56" i="49"/>
  <c r="O57" i="49"/>
  <c r="F22" i="46"/>
  <c r="J34" i="51"/>
  <c r="F32" i="48"/>
  <c r="F32" i="50"/>
  <c r="N13" i="49"/>
  <c r="N19" i="50" l="1"/>
  <c r="J42" i="50"/>
  <c r="G26" i="46"/>
  <c r="H26" i="46"/>
  <c r="N18" i="51"/>
  <c r="N35" i="51" s="1"/>
  <c r="C26" i="46"/>
  <c r="N28" i="51"/>
  <c r="P28" i="51" s="1"/>
  <c r="E26" i="46"/>
  <c r="F26" i="46"/>
  <c r="N32" i="32"/>
  <c r="P32" i="32" s="1"/>
  <c r="N42" i="32"/>
  <c r="P42" i="32" s="1"/>
  <c r="N53" i="48"/>
  <c r="P53" i="48" s="1"/>
  <c r="N46" i="32"/>
  <c r="P46" i="32" s="1"/>
  <c r="F24" i="46"/>
  <c r="H38" i="51"/>
  <c r="H30" i="51"/>
  <c r="J30" i="51" s="1"/>
  <c r="N44" i="48"/>
  <c r="P44" i="48" s="1"/>
  <c r="D20" i="46"/>
  <c r="N44" i="32"/>
  <c r="P44" i="32" s="1"/>
  <c r="N44" i="49"/>
  <c r="P44" i="49" s="1"/>
  <c r="N63" i="49"/>
  <c r="P63" i="49" s="1"/>
  <c r="N46" i="49"/>
  <c r="P46" i="49" s="1"/>
  <c r="N42" i="50"/>
  <c r="P42" i="50" s="1"/>
  <c r="N32" i="50"/>
  <c r="P32" i="50" s="1"/>
  <c r="N44" i="50"/>
  <c r="P44" i="50" s="1"/>
  <c r="H35" i="50"/>
  <c r="J35" i="50" s="1"/>
  <c r="N46" i="50"/>
  <c r="P46" i="50" s="1"/>
  <c r="H30" i="50"/>
  <c r="J30" i="50" s="1"/>
  <c r="N32" i="49"/>
  <c r="P32" i="49" s="1"/>
  <c r="H37" i="50"/>
  <c r="H56" i="50" s="1"/>
  <c r="J56" i="50" s="1"/>
  <c r="J38" i="50"/>
  <c r="N63" i="48"/>
  <c r="P63" i="48" s="1"/>
  <c r="J32" i="50"/>
  <c r="H36" i="50"/>
  <c r="H55" i="50" s="1"/>
  <c r="J55" i="50" s="1"/>
  <c r="N18" i="50"/>
  <c r="N30" i="50" s="1"/>
  <c r="P30" i="50" s="1"/>
  <c r="D24" i="46"/>
  <c r="N18" i="47"/>
  <c r="N38" i="47" s="1"/>
  <c r="N53" i="32"/>
  <c r="P53" i="32" s="1"/>
  <c r="J32" i="48"/>
  <c r="D21" i="46"/>
  <c r="N42" i="48"/>
  <c r="N32" i="48"/>
  <c r="P32" i="48" s="1"/>
  <c r="N53" i="49"/>
  <c r="P53" i="49" s="1"/>
  <c r="N46" i="51"/>
  <c r="P46" i="51" s="1"/>
  <c r="N42" i="51"/>
  <c r="N32" i="51"/>
  <c r="N44" i="51"/>
  <c r="P44" i="51" s="1"/>
  <c r="N53" i="47"/>
  <c r="P53" i="47" s="1"/>
  <c r="N34" i="47"/>
  <c r="P34" i="47" s="1"/>
  <c r="N18" i="48"/>
  <c r="H30" i="48"/>
  <c r="J30" i="48" s="1"/>
  <c r="D22" i="46"/>
  <c r="N19" i="51"/>
  <c r="E42" i="51"/>
  <c r="N34" i="50"/>
  <c r="P34" i="50" s="1"/>
  <c r="N53" i="50"/>
  <c r="P53" i="50" s="1"/>
  <c r="E42" i="48"/>
  <c r="N19" i="48"/>
  <c r="N19" i="47"/>
  <c r="E42" i="47"/>
  <c r="N14" i="50"/>
  <c r="N48" i="50" s="1"/>
  <c r="P48" i="50" s="1"/>
  <c r="F15" i="50"/>
  <c r="F20" i="46" s="1"/>
  <c r="H48" i="50"/>
  <c r="J48" i="50" s="1"/>
  <c r="H30" i="32"/>
  <c r="J30" i="32" s="1"/>
  <c r="N18" i="32"/>
  <c r="D23" i="46"/>
  <c r="N14" i="48"/>
  <c r="N48" i="48" s="1"/>
  <c r="P48" i="48" s="1"/>
  <c r="H48" i="48"/>
  <c r="J48" i="48" s="1"/>
  <c r="N37" i="49"/>
  <c r="N30" i="49"/>
  <c r="P30" i="49" s="1"/>
  <c r="N35" i="49"/>
  <c r="N36" i="49"/>
  <c r="N38" i="49"/>
  <c r="P42" i="49"/>
  <c r="J42" i="49"/>
  <c r="C23" i="46"/>
  <c r="N16" i="32"/>
  <c r="N30" i="51" l="1"/>
  <c r="P30" i="51" s="1"/>
  <c r="N38" i="51"/>
  <c r="P38" i="51" s="1"/>
  <c r="N37" i="51"/>
  <c r="P37" i="51" s="1"/>
  <c r="D26" i="46"/>
  <c r="N36" i="51"/>
  <c r="N55" i="51" s="1"/>
  <c r="P55" i="51" s="1"/>
  <c r="H36" i="51"/>
  <c r="J36" i="51" s="1"/>
  <c r="H37" i="51"/>
  <c r="J37" i="51" s="1"/>
  <c r="H35" i="51"/>
  <c r="H54" i="51" s="1"/>
  <c r="J54" i="51" s="1"/>
  <c r="H54" i="50"/>
  <c r="J54" i="50" s="1"/>
  <c r="J58" i="50" s="1"/>
  <c r="N38" i="50"/>
  <c r="N57" i="50" s="1"/>
  <c r="P57" i="50" s="1"/>
  <c r="N37" i="47"/>
  <c r="N56" i="47" s="1"/>
  <c r="P56" i="47" s="1"/>
  <c r="N35" i="47"/>
  <c r="P35" i="47" s="1"/>
  <c r="J37" i="50"/>
  <c r="J36" i="50"/>
  <c r="N36" i="50"/>
  <c r="N55" i="50" s="1"/>
  <c r="P55" i="50" s="1"/>
  <c r="N35" i="50"/>
  <c r="P35" i="50" s="1"/>
  <c r="N37" i="50"/>
  <c r="N56" i="50" s="1"/>
  <c r="P56" i="50" s="1"/>
  <c r="N30" i="47"/>
  <c r="P30" i="47" s="1"/>
  <c r="N36" i="47"/>
  <c r="H38" i="47"/>
  <c r="H36" i="47"/>
  <c r="H37" i="47"/>
  <c r="H35" i="47"/>
  <c r="H38" i="49"/>
  <c r="H35" i="49"/>
  <c r="H36" i="49"/>
  <c r="H37" i="49"/>
  <c r="P35" i="51"/>
  <c r="N54" i="51"/>
  <c r="P54" i="51" s="1"/>
  <c r="P32" i="51"/>
  <c r="N63" i="51"/>
  <c r="P63" i="51" s="1"/>
  <c r="N57" i="47"/>
  <c r="P57" i="47" s="1"/>
  <c r="P38" i="47"/>
  <c r="P36" i="49"/>
  <c r="N55" i="49"/>
  <c r="P55" i="49" s="1"/>
  <c r="P38" i="49"/>
  <c r="N57" i="49"/>
  <c r="P57" i="49" s="1"/>
  <c r="P42" i="48"/>
  <c r="J42" i="48"/>
  <c r="H57" i="51"/>
  <c r="J57" i="51" s="1"/>
  <c r="J38" i="51"/>
  <c r="N38" i="32"/>
  <c r="N37" i="32"/>
  <c r="N36" i="32"/>
  <c r="N35" i="32"/>
  <c r="N30" i="32"/>
  <c r="P30" i="32" s="1"/>
  <c r="H35" i="32"/>
  <c r="H38" i="32"/>
  <c r="H37" i="32"/>
  <c r="H36" i="32"/>
  <c r="P35" i="49"/>
  <c r="N54" i="49"/>
  <c r="P54" i="49" s="1"/>
  <c r="N56" i="49"/>
  <c r="P56" i="49" s="1"/>
  <c r="P37" i="49"/>
  <c r="N38" i="48"/>
  <c r="N36" i="48"/>
  <c r="N35" i="48"/>
  <c r="N30" i="48"/>
  <c r="P30" i="48" s="1"/>
  <c r="N37" i="48"/>
  <c r="H36" i="48"/>
  <c r="H35" i="48"/>
  <c r="H37" i="48"/>
  <c r="H38" i="48"/>
  <c r="P42" i="47"/>
  <c r="J42" i="47"/>
  <c r="P42" i="51"/>
  <c r="J42" i="51"/>
  <c r="N56" i="51" l="1"/>
  <c r="P56" i="51" s="1"/>
  <c r="N57" i="51"/>
  <c r="P57" i="51" s="1"/>
  <c r="P36" i="51"/>
  <c r="P39" i="51" s="1"/>
  <c r="P50" i="51" s="1"/>
  <c r="H55" i="51"/>
  <c r="J55" i="51" s="1"/>
  <c r="H56" i="51"/>
  <c r="J56" i="51" s="1"/>
  <c r="J35" i="51"/>
  <c r="J39" i="51" s="1"/>
  <c r="J50" i="51" s="1"/>
  <c r="N54" i="47"/>
  <c r="P54" i="47" s="1"/>
  <c r="P37" i="47"/>
  <c r="P38" i="50"/>
  <c r="J39" i="50"/>
  <c r="J50" i="50" s="1"/>
  <c r="J60" i="50" s="1"/>
  <c r="I20" i="46" s="1"/>
  <c r="P37" i="50"/>
  <c r="P36" i="50"/>
  <c r="N54" i="50"/>
  <c r="P54" i="50" s="1"/>
  <c r="P58" i="50" s="1"/>
  <c r="H55" i="47"/>
  <c r="J55" i="47" s="1"/>
  <c r="J36" i="47"/>
  <c r="H56" i="47"/>
  <c r="J56" i="47" s="1"/>
  <c r="J37" i="47"/>
  <c r="H57" i="47"/>
  <c r="J57" i="47" s="1"/>
  <c r="J38" i="47"/>
  <c r="N55" i="47"/>
  <c r="P55" i="47" s="1"/>
  <c r="P36" i="47"/>
  <c r="J35" i="47"/>
  <c r="H54" i="47"/>
  <c r="J54" i="47" s="1"/>
  <c r="J37" i="49"/>
  <c r="H56" i="49"/>
  <c r="J56" i="49" s="1"/>
  <c r="J36" i="49"/>
  <c r="H55" i="49"/>
  <c r="J55" i="49" s="1"/>
  <c r="J38" i="49"/>
  <c r="H57" i="49"/>
  <c r="J57" i="49" s="1"/>
  <c r="J35" i="49"/>
  <c r="H54" i="49"/>
  <c r="J54" i="49" s="1"/>
  <c r="P58" i="49"/>
  <c r="P39" i="49"/>
  <c r="H56" i="48"/>
  <c r="J56" i="48" s="1"/>
  <c r="J37" i="48"/>
  <c r="H54" i="48"/>
  <c r="J54" i="48" s="1"/>
  <c r="J35" i="48"/>
  <c r="H55" i="48"/>
  <c r="J55" i="48" s="1"/>
  <c r="J36" i="48"/>
  <c r="N55" i="48"/>
  <c r="P55" i="48" s="1"/>
  <c r="P36" i="48"/>
  <c r="J36" i="32"/>
  <c r="H55" i="32"/>
  <c r="J55" i="32" s="1"/>
  <c r="N57" i="32"/>
  <c r="P57" i="32" s="1"/>
  <c r="P38" i="32"/>
  <c r="N54" i="32"/>
  <c r="P54" i="32" s="1"/>
  <c r="P35" i="32"/>
  <c r="N54" i="48"/>
  <c r="P54" i="48" s="1"/>
  <c r="P35" i="48"/>
  <c r="P38" i="48"/>
  <c r="N57" i="48"/>
  <c r="P57" i="48" s="1"/>
  <c r="J37" i="32"/>
  <c r="H56" i="32"/>
  <c r="J56" i="32" s="1"/>
  <c r="H57" i="48"/>
  <c r="J57" i="48" s="1"/>
  <c r="J38" i="48"/>
  <c r="N55" i="32"/>
  <c r="P55" i="32" s="1"/>
  <c r="P36" i="32"/>
  <c r="P37" i="32"/>
  <c r="N56" i="32"/>
  <c r="P56" i="32" s="1"/>
  <c r="H57" i="32"/>
  <c r="J57" i="32" s="1"/>
  <c r="J38" i="32"/>
  <c r="H54" i="32"/>
  <c r="J54" i="32" s="1"/>
  <c r="J35" i="32"/>
  <c r="N56" i="48"/>
  <c r="P56" i="48" s="1"/>
  <c r="P37" i="48"/>
  <c r="P58" i="51" l="1"/>
  <c r="P60" i="51" s="1"/>
  <c r="P58" i="47"/>
  <c r="J58" i="51"/>
  <c r="J60" i="51" s="1"/>
  <c r="I26" i="46" s="1"/>
  <c r="P39" i="47"/>
  <c r="P50" i="47" s="1"/>
  <c r="P39" i="50"/>
  <c r="P40" i="50" s="1"/>
  <c r="P50" i="50" s="1"/>
  <c r="P60" i="50" s="1"/>
  <c r="J20" i="46" s="1"/>
  <c r="K20" i="46" s="1"/>
  <c r="L20" i="46" s="1"/>
  <c r="J65" i="50"/>
  <c r="I30" i="46" s="1"/>
  <c r="J39" i="47"/>
  <c r="J50" i="47" s="1"/>
  <c r="P39" i="48"/>
  <c r="J58" i="47"/>
  <c r="P39" i="32"/>
  <c r="J58" i="32"/>
  <c r="P58" i="48"/>
  <c r="J39" i="49"/>
  <c r="J58" i="49"/>
  <c r="P58" i="32"/>
  <c r="J58" i="48"/>
  <c r="J39" i="32"/>
  <c r="J50" i="32" s="1"/>
  <c r="J39" i="48"/>
  <c r="J50" i="48" s="1"/>
  <c r="P60" i="47" l="1"/>
  <c r="P65" i="47" s="1"/>
  <c r="J60" i="48"/>
  <c r="I22" i="46" s="1"/>
  <c r="J65" i="51"/>
  <c r="I36" i="46" s="1"/>
  <c r="J60" i="47"/>
  <c r="J65" i="47" s="1"/>
  <c r="I34" i="46" s="1"/>
  <c r="P65" i="50"/>
  <c r="P66" i="50" s="1"/>
  <c r="P61" i="51"/>
  <c r="P2" i="51" s="1"/>
  <c r="P61" i="50"/>
  <c r="P1" i="50" s="1"/>
  <c r="P65" i="51"/>
  <c r="J36" i="46" s="1"/>
  <c r="J26" i="46"/>
  <c r="K26" i="46" s="1"/>
  <c r="L26" i="46" s="1"/>
  <c r="J60" i="32"/>
  <c r="I23" i="46" s="1"/>
  <c r="J50" i="49"/>
  <c r="J60" i="49" s="1"/>
  <c r="P40" i="49"/>
  <c r="P50" i="49" s="1"/>
  <c r="P60" i="49" s="1"/>
  <c r="P40" i="48"/>
  <c r="P50" i="48" s="1"/>
  <c r="P60" i="48" s="1"/>
  <c r="P40" i="32"/>
  <c r="P50" i="32" s="1"/>
  <c r="P60" i="32" s="1"/>
  <c r="J24" i="46" l="1"/>
  <c r="J30" i="46"/>
  <c r="K30" i="46" s="1"/>
  <c r="L30" i="46" s="1"/>
  <c r="J65" i="48"/>
  <c r="I32" i="46" s="1"/>
  <c r="I24" i="46"/>
  <c r="P61" i="47"/>
  <c r="P1" i="47" s="1"/>
  <c r="K36" i="46"/>
  <c r="L36" i="46" s="1"/>
  <c r="J65" i="32"/>
  <c r="I33" i="46" s="1"/>
  <c r="P66" i="51"/>
  <c r="P1" i="51" s="1"/>
  <c r="P66" i="47"/>
  <c r="J34" i="46"/>
  <c r="K34" i="46" s="1"/>
  <c r="L34" i="46" s="1"/>
  <c r="J21" i="46"/>
  <c r="P61" i="49"/>
  <c r="P1" i="49" s="1"/>
  <c r="P65" i="49"/>
  <c r="J65" i="49"/>
  <c r="I31" i="46" s="1"/>
  <c r="I21" i="46"/>
  <c r="P61" i="48"/>
  <c r="P1" i="48" s="1"/>
  <c r="J22" i="46"/>
  <c r="K22" i="46" s="1"/>
  <c r="L22" i="46" s="1"/>
  <c r="P65" i="48"/>
  <c r="P61" i="32"/>
  <c r="P1" i="32" s="1"/>
  <c r="J23" i="46"/>
  <c r="K23" i="46" s="1"/>
  <c r="L23" i="46" s="1"/>
  <c r="C7" i="46" s="1"/>
  <c r="P65" i="32"/>
  <c r="K24" i="46" l="1"/>
  <c r="L24" i="46" s="1"/>
  <c r="I25" i="46"/>
  <c r="I35" i="46"/>
  <c r="J25" i="46"/>
  <c r="J31" i="46"/>
  <c r="P66" i="49"/>
  <c r="K21" i="46"/>
  <c r="L21" i="46" s="1"/>
  <c r="J33" i="46"/>
  <c r="K33" i="46" s="1"/>
  <c r="L33" i="46" s="1"/>
  <c r="P66" i="32"/>
  <c r="P66" i="48"/>
  <c r="J32" i="46"/>
  <c r="K32" i="46" s="1"/>
  <c r="L32" i="46" s="1"/>
  <c r="C8" i="46" l="1"/>
  <c r="K25" i="46"/>
  <c r="L25" i="46" s="1"/>
  <c r="K31" i="46"/>
  <c r="L31" i="46" s="1"/>
  <c r="J35" i="46"/>
  <c r="K35" i="46" s="1"/>
  <c r="L35" i="46" s="1"/>
</calcChain>
</file>

<file path=xl/sharedStrings.xml><?xml version="1.0" encoding="utf-8"?>
<sst xmlns="http://schemas.openxmlformats.org/spreadsheetml/2006/main" count="1104" uniqueCount="196">
  <si>
    <t>1         Purpose</t>
  </si>
  <si>
    <t>3         Completing the Individual Site Bill Impact Tool</t>
  </si>
  <si>
    <t>Initial Steps</t>
  </si>
  <si>
    <t>Adjusting Input Data</t>
  </si>
  <si>
    <t>The 'Adjust Load Profile' tab provides the opportunity to override historical load profile or billing determinant</t>
  </si>
  <si>
    <t xml:space="preserve">information. </t>
  </si>
  <si>
    <t>tariffdesign@aeso.ca</t>
  </si>
  <si>
    <t>Attachments</t>
  </si>
  <si>
    <t>Annual Summary - Summary of bill impact by year</t>
  </si>
  <si>
    <t>Site Data Input - Tab to allow annual billing or load profile information by year</t>
  </si>
  <si>
    <t>Revision History</t>
  </si>
  <si>
    <t>Date</t>
  </si>
  <si>
    <t>Description</t>
  </si>
  <si>
    <t>2021-03-18</t>
  </si>
  <si>
    <t>v 0.1 - Initial release with draft Test Year 2019 values</t>
  </si>
  <si>
    <r>
      <rPr>
        <vertAlign val="superscript"/>
        <sz val="9"/>
        <rFont val="Arial"/>
        <family val="2"/>
      </rPr>
      <t>1</t>
    </r>
    <r>
      <rPr>
        <sz val="9"/>
        <rFont val="Arial"/>
        <family val="2"/>
      </rPr>
      <t xml:space="preserve"> “Authoritative document” is the general name given by the AESO to categories of documents made by the AESO </t>
    </r>
  </si>
  <si>
    <r>
      <t xml:space="preserve">under the authority of the </t>
    </r>
    <r>
      <rPr>
        <i/>
        <sz val="9"/>
        <rFont val="Arial"/>
        <family val="2"/>
      </rPr>
      <t>Electric Utilities Act</t>
    </r>
    <r>
      <rPr>
        <sz val="9"/>
        <rFont val="Arial"/>
        <family val="2"/>
      </rPr>
      <t xml:space="preserve"> and associated regulations, and that contain binding legal requirements for </t>
    </r>
  </si>
  <si>
    <t>either market participants or the AESO, or both. Authoritative documents include: the ISO rules, the reliability standards</t>
  </si>
  <si>
    <t>and the ISO tariff.</t>
  </si>
  <si>
    <t xml:space="preserve"> </t>
  </si>
  <si>
    <t>Market Participant:</t>
  </si>
  <si>
    <t>Site Description:</t>
  </si>
  <si>
    <t>Account ID:</t>
  </si>
  <si>
    <t>Date:</t>
  </si>
  <si>
    <t>Estimated Transmission Costs</t>
  </si>
  <si>
    <t>Load Profile Year</t>
  </si>
  <si>
    <t>Contract Capacity
(MW)</t>
  </si>
  <si>
    <t>Annual Billing Capacity
(MW)</t>
  </si>
  <si>
    <t>Annual Coincident Peak
(MW)</t>
  </si>
  <si>
    <t>Coincidence Factor
(%)</t>
  </si>
  <si>
    <t>Annual Energy
(MWh)</t>
  </si>
  <si>
    <t>Load Factor (%)</t>
  </si>
  <si>
    <t>Estimated Total Bill  (Includes energy settlement costs)</t>
  </si>
  <si>
    <t>Estimated Transmission Costs Impact</t>
  </si>
  <si>
    <t>Account:</t>
  </si>
  <si>
    <t>Tariff:</t>
  </si>
  <si>
    <t>Test Year 2019</t>
  </si>
  <si>
    <t>Test Year Future</t>
  </si>
  <si>
    <t>Load Consumption Profile Year:</t>
  </si>
  <si>
    <t>Billing Quantity</t>
  </si>
  <si>
    <t>Factor</t>
  </si>
  <si>
    <t>Monthly Average</t>
  </si>
  <si>
    <t>Applicable Volumes</t>
  </si>
  <si>
    <t xml:space="preserve"> (a)</t>
  </si>
  <si>
    <t>Substation fraction (SF)</t>
  </si>
  <si>
    <t xml:space="preserve"> (b)</t>
  </si>
  <si>
    <t>Rate PSC Applicable</t>
  </si>
  <si>
    <t xml:space="preserve"> (c)</t>
  </si>
  <si>
    <t>Highest metered demand</t>
  </si>
  <si>
    <t>MW</t>
  </si>
  <si>
    <t xml:space="preserve"> (d)</t>
  </si>
  <si>
    <t>Average coincident metered demand</t>
  </si>
  <si>
    <t xml:space="preserve"> (e)</t>
  </si>
  <si>
    <t>Contract Capacity</t>
  </si>
  <si>
    <t xml:space="preserve"> (f)</t>
  </si>
  <si>
    <t>Metered energy</t>
  </si>
  <si>
    <t>MWh</t>
  </si>
  <si>
    <t xml:space="preserve"> (g)</t>
  </si>
  <si>
    <t>Billing capacity</t>
  </si>
  <si>
    <t xml:space="preserve"> (h)</t>
  </si>
  <si>
    <t>% of pool price for operating reserve charge</t>
  </si>
  <si>
    <t xml:space="preserve"> (i)</t>
  </si>
  <si>
    <t>Apparent power difference</t>
  </si>
  <si>
    <t>MVA</t>
  </si>
  <si>
    <t xml:space="preserve"> (k)</t>
  </si>
  <si>
    <t>Site Average Pool Price on Energy Settlement</t>
  </si>
  <si>
    <t>/MWh</t>
  </si>
  <si>
    <t xml:space="preserve"> (l)</t>
  </si>
  <si>
    <t>Annual Average Pool Price</t>
  </si>
  <si>
    <t>Rate or Rider Component</t>
  </si>
  <si>
    <t>Rate</t>
  </si>
  <si>
    <t>Volume</t>
  </si>
  <si>
    <t>Amount</t>
  </si>
  <si>
    <t>Rate DTS: Demand Transmission Service</t>
  </si>
  <si>
    <t>Connection Charge</t>
  </si>
  <si>
    <t>Bulk System Charge</t>
  </si>
  <si>
    <t>3(a)</t>
  </si>
  <si>
    <t>Coincident metered demand</t>
  </si>
  <si>
    <t>/MW/month</t>
  </si>
  <si>
    <t>Regional System Charge</t>
  </si>
  <si>
    <t>3(b)</t>
  </si>
  <si>
    <t>Energy Charge</t>
  </si>
  <si>
    <t>3(c)</t>
  </si>
  <si>
    <t>Point of Delivery Charge</t>
  </si>
  <si>
    <t>3(e)</t>
  </si>
  <si>
    <t>Substation fraction</t>
  </si>
  <si>
    <t>/month</t>
  </si>
  <si>
    <t>3(f)</t>
  </si>
  <si>
    <t>First (7.5 × SF) MW of billing capacity</t>
  </si>
  <si>
    <t>3(g)</t>
  </si>
  <si>
    <t>Next (9.5 × SF) MW of billing capacity</t>
  </si>
  <si>
    <t>3(h)</t>
  </si>
  <si>
    <t>Next (23 × SF) MW of billing capacity</t>
  </si>
  <si>
    <t>3(i)</t>
  </si>
  <si>
    <t>All remaining MW of billing capacity</t>
  </si>
  <si>
    <t>Total Wires</t>
  </si>
  <si>
    <t>Operating Reserve Charge Estimate</t>
  </si>
  <si>
    <t>4</t>
  </si>
  <si>
    <t>pool price</t>
  </si>
  <si>
    <t>Transmission Constraint Rebalancing Charge Estimate</t>
  </si>
  <si>
    <t>5</t>
  </si>
  <si>
    <t>Voltage Control Charge</t>
  </si>
  <si>
    <t>6</t>
  </si>
  <si>
    <t>Other System Support Services Charge</t>
  </si>
  <si>
    <t>7(a)</t>
  </si>
  <si>
    <t>7(b)</t>
  </si>
  <si>
    <t>/MVA/month</t>
  </si>
  <si>
    <t>Total Rate DTS</t>
  </si>
  <si>
    <t>Rate Primary Service Credit</t>
  </si>
  <si>
    <t>Total Rate PSC Credit</t>
  </si>
  <si>
    <t>Transmission Costs</t>
  </si>
  <si>
    <t>Transmission Costs Impact</t>
  </si>
  <si>
    <t>Energy Market Settlement</t>
  </si>
  <si>
    <t>Total Bill</t>
  </si>
  <si>
    <t>Total Bill Impact</t>
  </si>
  <si>
    <t>Year</t>
  </si>
  <si>
    <t>Market Participant</t>
  </si>
  <si>
    <t>Site Description</t>
  </si>
  <si>
    <t>Account_ID</t>
  </si>
  <si>
    <t>Substation Fraction</t>
  </si>
  <si>
    <t>CONTRACT CAPACITY (MW)</t>
  </si>
  <si>
    <t>ENERGY
(MWh)</t>
  </si>
  <si>
    <t>CMD (MW)</t>
  </si>
  <si>
    <t>BILLING CAPACITY (MW)</t>
  </si>
  <si>
    <t>MAX HMD (MW)</t>
  </si>
  <si>
    <t>ACTUAL HMD (MW)</t>
  </si>
  <si>
    <t>Tariff</t>
  </si>
  <si>
    <t>Effective On</t>
  </si>
  <si>
    <t>End Date</t>
  </si>
  <si>
    <t>Current</t>
  </si>
  <si>
    <t>metered energy</t>
  </si>
  <si>
    <t>Metered Energy</t>
  </si>
  <si>
    <t>Rate DTS Charge</t>
  </si>
  <si>
    <t>(e) Substation fraction (SF)</t>
  </si>
  <si>
    <t>(f) First (7.5 × SF) MW of billing capacity</t>
  </si>
  <si>
    <t>(g) Next (9.5 × SF) MW of billing capacity</t>
  </si>
  <si>
    <t>(h) Next (23 × SF) MW of billing capacity</t>
  </si>
  <si>
    <t>(i) All remaining MW of billing capacity</t>
  </si>
  <si>
    <t>Rate PSC Credit</t>
  </si>
  <si>
    <t>Operating Reserve Charge</t>
  </si>
  <si>
    <t>Multiplier</t>
  </si>
  <si>
    <t>Transmission Constraint Rebalancing Charge</t>
  </si>
  <si>
    <t>Regulated Generating Unit Connection Cost</t>
  </si>
  <si>
    <t>Apparent Power Difference</t>
  </si>
  <si>
    <t>Rider F</t>
  </si>
  <si>
    <t>Hours</t>
  </si>
  <si>
    <t>Annual Volumes</t>
  </si>
  <si>
    <t xml:space="preserve"> (j)</t>
  </si>
  <si>
    <t>Total Transmission Bill Impact</t>
  </si>
  <si>
    <t>LF</t>
  </si>
  <si>
    <t>Overrides</t>
  </si>
  <si>
    <t>Wires Bill Impact:</t>
  </si>
  <si>
    <t>*Input annual data into Cell A2 for years 2016, 2017, 2018, 2019 and 2020</t>
  </si>
  <si>
    <t>Apparent power factor difference</t>
  </si>
  <si>
    <t>Adjust Load Profile - Allow ratepayers to override input values to assess impact</t>
  </si>
  <si>
    <t>The information included in the 'Site Data Input' tab will allow calculations on the 'Annual Summary' tab and will provide annual summary of bill impact resulting from the preferred rate design.</t>
  </si>
  <si>
    <t>For assistance with this tool and Site Data Input data, please contact the AESO at:</t>
  </si>
  <si>
    <t>Current Design (Test Year 2019) and Preferred Rate Design (Test Year Future) rates are calculated using actual 2019 billing detemrinants for all sites and 2019 revenue requirement. The rates only differ by changing the functionalizaiton and classification from current approved in the 2021 ISO tariff to the preferred rate design.</t>
  </si>
  <si>
    <t>2         Current Design and Preferred Rate Design Rate Calculations</t>
  </si>
  <si>
    <t>2017-2020 Average:</t>
  </si>
  <si>
    <t>2019 Load Profile Year:</t>
  </si>
  <si>
    <t>Threshold for targeted mitigation engagement*:</t>
  </si>
  <si>
    <t>Average (2017 - 2020)</t>
  </si>
  <si>
    <t>*Sites with greater than 10% impact (estimated transmission</t>
  </si>
  <si>
    <t>costs) will be invited to targeted mitigation engagement</t>
  </si>
  <si>
    <t>Paste single site annual billing determinants on cell "A2" of the 'Site Data Input' tab.</t>
  </si>
  <si>
    <t>Estimated Total Bill Impact</t>
  </si>
  <si>
    <t>This summary data can be provided by the AESO (in coordination with the DFO if necessary)</t>
  </si>
  <si>
    <t>Rate PSC (Yes/No)</t>
  </si>
  <si>
    <t>Energy Settlement ($)</t>
  </si>
  <si>
    <t>Operating Reserve Charges ($)</t>
  </si>
  <si>
    <t>Transmission Constraint Reblancing Charge ($)</t>
  </si>
  <si>
    <t>Voltage Control Charges ($)</t>
  </si>
  <si>
    <t>Other System Support Services Charge ($)</t>
  </si>
  <si>
    <t>Power Factor Deficiency Charge ($)</t>
  </si>
  <si>
    <r>
      <t>This bill impact tool is not authoritative and is for information purposes only and intended to provide guidance. In the event of any discrepancy between this tool and any authoritative document</t>
    </r>
    <r>
      <rPr>
        <b/>
        <i/>
        <vertAlign val="superscript"/>
        <sz val="11"/>
        <color theme="1"/>
        <rFont val="Arial"/>
        <family val="2"/>
      </rPr>
      <t>1</t>
    </r>
    <r>
      <rPr>
        <b/>
        <i/>
        <sz val="11"/>
        <color theme="1"/>
        <rFont val="Arial"/>
        <family val="2"/>
      </rPr>
      <t> in effect, the authoritative document governs.</t>
    </r>
  </si>
  <si>
    <t>This bill impact tool is intended to allow ratepayers to assess historical annual impact with respect to the AESO's preferred bulk and regional tariff rate design ("Preferred Rate Design") described in the AESO's Bulk and Regional Tariff Design Stakeholder Engagement Session 5 published on March 18, 2021 and presented in the corresponding AESO's Stakeholder Session 5 on March 25, 2021.</t>
  </si>
  <si>
    <r>
      <t xml:space="preserve">The purpose of this bill impact tool is to allow a market participant to estimate the annual historical charges for system access service under the AESO's Preferred Rate Design, including Rate DTS, </t>
    </r>
    <r>
      <rPr>
        <i/>
        <sz val="10"/>
        <rFont val="Arial"/>
        <family val="2"/>
      </rPr>
      <t>Demand Transmission Service</t>
    </r>
    <r>
      <rPr>
        <sz val="10"/>
        <rFont val="Arial"/>
        <family val="2"/>
      </rPr>
      <t xml:space="preserve">, and Rate PSC, </t>
    </r>
    <r>
      <rPr>
        <i/>
        <sz val="10"/>
        <rFont val="Arial"/>
        <family val="2"/>
      </rPr>
      <t>Primary Service Credit</t>
    </r>
    <r>
      <rPr>
        <sz val="10"/>
        <rFont val="Arial"/>
        <family val="2"/>
      </rPr>
      <t>.</t>
    </r>
  </si>
  <si>
    <r>
      <t xml:space="preserve">The calculations in this bill impact tool provide estimated charges under the Preferred Rate Design only. The AESO calculates certain actual charges on an hourly basis rather than on average annual amounts, and </t>
    </r>
    <r>
      <rPr>
        <b/>
        <i/>
        <sz val="10"/>
        <rFont val="Arial"/>
        <family val="2"/>
      </rPr>
      <t>actual charges under any future tariff design may differ from the estimated amounts presented in this bill impact tool</t>
    </r>
    <r>
      <rPr>
        <i/>
        <sz val="10"/>
        <rFont val="Arial"/>
        <family val="2"/>
      </rPr>
      <t>.</t>
    </r>
  </si>
  <si>
    <t>This section describes how a market participant may complete the bill impact tool to estimate and compare annual charges (based on historical load information) for system access service under the existing 2021 ISO Tariff bulk and regional tariff design and under the AESO's Preferred Rate Design.</t>
  </si>
  <si>
    <t>In the Technical Information Session on March 31, 2021, the AESO will provide examples and a detailed walk through of the bill impact tool.</t>
  </si>
  <si>
    <t>Estimated Current Rate Design
($)</t>
  </si>
  <si>
    <t>Estimated Preferred Rate Design
($)</t>
  </si>
  <si>
    <t>Estimated Impact
($)</t>
  </si>
  <si>
    <t>Estimated Impact
(%)</t>
  </si>
  <si>
    <t>v 0.2 - Fixed to work with all Excel versions and Contract Capacity to pull appropriate year selected (not just 2019)</t>
  </si>
  <si>
    <t>2021-03-22</t>
  </si>
  <si>
    <t>2021-03-30</t>
  </si>
  <si>
    <t>v 0.3 - Fixed to ensure adjusted load profile data aligned with results from 'Adjust Load Profile' data</t>
  </si>
  <si>
    <t>v 0.4 - Fixed to pull actual annual average pool price into 'Adjust Load Profile' tab</t>
  </si>
  <si>
    <t>Pool price (Actual)</t>
  </si>
  <si>
    <t>DFO</t>
  </si>
  <si>
    <t>Sample Site</t>
  </si>
  <si>
    <t>1000XXXXX</t>
  </si>
  <si>
    <t>No</t>
  </si>
  <si>
    <t>2021-04-06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</si>
</sst>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7" formatCode="&quot;$&quot;#,##0.00_);\(&quot;$&quot;#,##0.00\)"/>
    <numFmt numFmtId="8" formatCode="&quot;$&quot;#,##0.00_);[Red]\(&quot;$&quot;#,##0.00\)"/>
    <numFmt numFmtId="44" formatCode="_(&quot;$&quot;* #,##0.00_);_(&quot;$&quot;* \(#,##0.00\);_(&quot;$&quot;* &quot;-&quot;??_);_(@_)"/>
    <numFmt numFmtId="164" formatCode="&quot;$&quot;#,##0.00"/>
    <numFmt numFmtId="165" formatCode="#,##0.0"/>
    <numFmt numFmtId="166" formatCode="#,##0.00000"/>
    <numFmt numFmtId="167" formatCode="&quot;× &quot;0.00%"/>
    <numFmt numFmtId="168" formatCode="&quot;= &quot;* &quot;$&quot;#,##0.00"/>
    <numFmt numFmtId="169" formatCode="&quot;$&quot;#,##0.000"/>
    <numFmt numFmtId="170" formatCode="&quot;$&quot;#,##0.000_);[Red]\(&quot;$&quot;#,##0.000\)"/>
    <numFmt numFmtId="171" formatCode="mmm\ dd\,\ yyyy"/>
    <numFmt numFmtId="172" formatCode="_(&quot;$&quot;* #,##0_);_(&quot;$&quot;* \(#,##0\);_(&quot;$&quot;* &quot;-&quot;??_);_(@_)"/>
    <numFmt numFmtId="173" formatCode="#,##0.0000"/>
    <numFmt numFmtId="174" formatCode="0.0"/>
    <numFmt numFmtId="175" formatCode="0.0%"/>
    <numFmt numFmtId="176" formatCode="\+#,##0.0%_);[Red]\(\-#,##0.0%\)"/>
    <numFmt numFmtId="177" formatCode="mmmm\ dd\,\ yyyy"/>
  </numFmts>
  <fonts count="30"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i/>
      <sz val="10"/>
      <name val="Arial"/>
      <family val="2"/>
    </font>
    <font>
      <sz val="10"/>
      <color indexed="55"/>
      <name val="Arial"/>
      <family val="2"/>
    </font>
    <font>
      <sz val="11"/>
      <name val="Arial Black"/>
      <family val="2"/>
    </font>
    <font>
      <sz val="6"/>
      <name val="Arial"/>
      <family val="2"/>
    </font>
    <font>
      <b/>
      <sz val="18"/>
      <color indexed="18"/>
      <name val="Arial"/>
      <family val="2"/>
    </font>
    <font>
      <b/>
      <sz val="12"/>
      <color indexed="18"/>
      <name val="Arial"/>
      <family val="2"/>
    </font>
    <font>
      <b/>
      <i/>
      <sz val="10"/>
      <color indexed="18"/>
      <name val="Arial"/>
      <family val="2"/>
    </font>
    <font>
      <sz val="8"/>
      <name val="Arial"/>
      <family val="2"/>
    </font>
    <font>
      <sz val="4"/>
      <name val="Arial"/>
      <family val="2"/>
    </font>
    <font>
      <sz val="7"/>
      <name val="Arial"/>
      <family val="2"/>
    </font>
    <font>
      <b/>
      <i/>
      <sz val="13"/>
      <color indexed="18"/>
      <name val="Arial"/>
      <family val="2"/>
    </font>
    <font>
      <sz val="9"/>
      <name val="Arial"/>
      <family val="2"/>
    </font>
    <font>
      <vertAlign val="superscript"/>
      <sz val="9"/>
      <name val="Arial"/>
      <family val="2"/>
    </font>
    <font>
      <i/>
      <sz val="9"/>
      <name val="Arial"/>
      <family val="2"/>
    </font>
    <font>
      <sz val="11"/>
      <color theme="1"/>
      <name val="Calibri"/>
      <family val="2"/>
      <scheme val="minor"/>
    </font>
    <font>
      <b/>
      <sz val="10"/>
      <color indexed="18"/>
      <name val="Arial"/>
      <family val="2"/>
    </font>
    <font>
      <b/>
      <sz val="12"/>
      <color theme="3"/>
      <name val="Arial"/>
      <family val="2"/>
    </font>
    <font>
      <sz val="10"/>
      <name val="Arial"/>
      <family val="2"/>
    </font>
    <font>
      <b/>
      <sz val="11"/>
      <color theme="1"/>
      <name val="Calibri"/>
      <family val="2"/>
      <scheme val="minor"/>
    </font>
    <font>
      <sz val="10"/>
      <color theme="0" tint="-0.499984740745262"/>
      <name val="Arial"/>
      <family val="2"/>
    </font>
    <font>
      <u/>
      <sz val="10"/>
      <color theme="10"/>
      <name val="Arial"/>
      <family val="2"/>
    </font>
    <font>
      <b/>
      <i/>
      <sz val="11"/>
      <color theme="1"/>
      <name val="Arial"/>
      <family val="2"/>
    </font>
    <font>
      <b/>
      <i/>
      <sz val="10"/>
      <name val="Arial"/>
      <family val="2"/>
    </font>
    <font>
      <b/>
      <i/>
      <vertAlign val="superscript"/>
      <sz val="11"/>
      <color theme="1"/>
      <name val="Arial"/>
      <family val="2"/>
    </font>
  </fonts>
  <fills count="13">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249977111117893"/>
        <bgColor indexed="64"/>
      </patternFill>
    </fill>
    <fill>
      <patternFill patternType="solid">
        <fgColor theme="3" tint="0.39997558519241921"/>
        <bgColor indexed="64"/>
      </patternFill>
    </fill>
    <fill>
      <patternFill patternType="solid">
        <fgColor rgb="FFFFFF00"/>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12">
    <xf numFmtId="0" fontId="0" fillId="0" borderId="0"/>
    <xf numFmtId="0" fontId="13" fillId="0" borderId="0"/>
    <xf numFmtId="0" fontId="5" fillId="0" borderId="0"/>
    <xf numFmtId="0" fontId="10" fillId="0" borderId="0"/>
    <xf numFmtId="0" fontId="11" fillId="0" borderId="0"/>
    <xf numFmtId="0" fontId="12" fillId="0" borderId="0">
      <alignment vertical="top"/>
    </xf>
    <xf numFmtId="0" fontId="20" fillId="0" borderId="0"/>
    <xf numFmtId="9" fontId="20" fillId="0" borderId="0" applyFont="0" applyFill="0" applyBorder="0" applyAlignment="0" applyProtection="0"/>
    <xf numFmtId="0" fontId="5" fillId="0" borderId="0"/>
    <xf numFmtId="44" fontId="23" fillId="0" borderId="0" applyFont="0" applyFill="0" applyBorder="0" applyAlignment="0" applyProtection="0"/>
    <xf numFmtId="9" fontId="23" fillId="0" borderId="0" applyFont="0" applyFill="0" applyBorder="0" applyAlignment="0" applyProtection="0"/>
    <xf numFmtId="0" fontId="26" fillId="0" borderId="0" applyNumberFormat="0" applyFill="0" applyBorder="0" applyAlignment="0" applyProtection="0"/>
  </cellStyleXfs>
  <cellXfs count="270">
    <xf numFmtId="0" fontId="0" fillId="0" borderId="0" xfId="0"/>
    <xf numFmtId="0" fontId="16" fillId="0" borderId="0" xfId="5" applyFont="1">
      <alignment vertical="top"/>
    </xf>
    <xf numFmtId="0" fontId="11" fillId="0" borderId="0" xfId="4"/>
    <xf numFmtId="0" fontId="8" fillId="0" borderId="0" xfId="0" applyFont="1"/>
    <xf numFmtId="0" fontId="9" fillId="0" borderId="0" xfId="0" applyFont="1"/>
    <xf numFmtId="0" fontId="4" fillId="0" borderId="0" xfId="0" applyFont="1"/>
    <xf numFmtId="0" fontId="4" fillId="0" borderId="0" xfId="0" applyFont="1" applyAlignment="1">
      <alignment horizontal="center"/>
    </xf>
    <xf numFmtId="5" fontId="0" fillId="0" borderId="0" xfId="0" applyNumberFormat="1"/>
    <xf numFmtId="0" fontId="0" fillId="0" borderId="0" xfId="0" applyAlignment="1">
      <alignment horizontal="center"/>
    </xf>
    <xf numFmtId="5" fontId="4" fillId="0" borderId="0" xfId="0" applyNumberFormat="1" applyFont="1"/>
    <xf numFmtId="0" fontId="0" fillId="0" borderId="1" xfId="0" quotePrefix="1" applyBorder="1"/>
    <xf numFmtId="0" fontId="0" fillId="0" borderId="2" xfId="0" applyBorder="1"/>
    <xf numFmtId="0" fontId="0" fillId="0" borderId="2" xfId="0" quotePrefix="1" applyBorder="1"/>
    <xf numFmtId="0" fontId="0" fillId="0" borderId="4" xfId="0" applyBorder="1"/>
    <xf numFmtId="0" fontId="0" fillId="0" borderId="4" xfId="0" quotePrefix="1" applyBorder="1"/>
    <xf numFmtId="0" fontId="0" fillId="0" borderId="5" xfId="0" quotePrefix="1" applyBorder="1"/>
    <xf numFmtId="0" fontId="0" fillId="0" borderId="0" xfId="0" quotePrefix="1"/>
    <xf numFmtId="0" fontId="0" fillId="0" borderId="7" xfId="0" applyBorder="1"/>
    <xf numFmtId="0" fontId="0" fillId="0" borderId="7" xfId="0" quotePrefix="1" applyBorder="1"/>
    <xf numFmtId="0" fontId="0" fillId="0" borderId="8" xfId="0" applyBorder="1"/>
    <xf numFmtId="0" fontId="0" fillId="0" borderId="8" xfId="0" quotePrefix="1" applyBorder="1"/>
    <xf numFmtId="0" fontId="0" fillId="0" borderId="9" xfId="0" quotePrefix="1" applyBorder="1"/>
    <xf numFmtId="0" fontId="4" fillId="0" borderId="1" xfId="0" applyFont="1" applyBorder="1"/>
    <xf numFmtId="0" fontId="4" fillId="0" borderId="2" xfId="0" applyFont="1" applyBorder="1"/>
    <xf numFmtId="164" fontId="4" fillId="0" borderId="2" xfId="0" applyNumberFormat="1" applyFont="1" applyBorder="1"/>
    <xf numFmtId="0" fontId="4" fillId="0" borderId="2" xfId="0" quotePrefix="1" applyFont="1" applyBorder="1"/>
    <xf numFmtId="165" fontId="4" fillId="0" borderId="2" xfId="0" applyNumberFormat="1" applyFont="1" applyBorder="1"/>
    <xf numFmtId="7" fontId="4" fillId="0" borderId="2" xfId="0" applyNumberFormat="1" applyFont="1" applyBorder="1"/>
    <xf numFmtId="0" fontId="6" fillId="0" borderId="3" xfId="0" applyFont="1" applyBorder="1"/>
    <xf numFmtId="0" fontId="6" fillId="0" borderId="4" xfId="0" applyFont="1" applyBorder="1"/>
    <xf numFmtId="164" fontId="6" fillId="0" borderId="4" xfId="0" applyNumberFormat="1" applyFont="1" applyBorder="1"/>
    <xf numFmtId="0" fontId="6" fillId="0" borderId="10" xfId="0" applyFont="1" applyBorder="1"/>
    <xf numFmtId="0" fontId="6" fillId="0" borderId="11" xfId="0" applyFont="1" applyBorder="1"/>
    <xf numFmtId="164" fontId="6" fillId="0" borderId="11" xfId="0" applyNumberFormat="1" applyFont="1" applyBorder="1"/>
    <xf numFmtId="0" fontId="7" fillId="0" borderId="0" xfId="0" applyFont="1" applyAlignment="1">
      <alignment horizontal="left" indent="2"/>
    </xf>
    <xf numFmtId="0" fontId="7" fillId="0" borderId="0" xfId="0" quotePrefix="1" applyFont="1"/>
    <xf numFmtId="0" fontId="0" fillId="0" borderId="0" xfId="0" applyAlignment="1">
      <alignment horizontal="left" indent="1"/>
    </xf>
    <xf numFmtId="165" fontId="0" fillId="0" borderId="0" xfId="0" applyNumberFormat="1" applyAlignment="1">
      <alignment horizontal="right"/>
    </xf>
    <xf numFmtId="3" fontId="0" fillId="0" borderId="0" xfId="0" applyNumberFormat="1" applyAlignment="1">
      <alignment horizontal="right"/>
    </xf>
    <xf numFmtId="166" fontId="0" fillId="0" borderId="0" xfId="0" applyNumberFormat="1" applyAlignment="1">
      <alignment horizontal="right"/>
    </xf>
    <xf numFmtId="5" fontId="4" fillId="0" borderId="0" xfId="0" applyNumberFormat="1" applyFont="1" applyAlignment="1">
      <alignment horizontal="center"/>
    </xf>
    <xf numFmtId="0" fontId="5" fillId="0" borderId="0" xfId="0" applyFont="1"/>
    <xf numFmtId="0" fontId="4" fillId="0" borderId="0" xfId="0" applyFont="1" applyAlignment="1">
      <alignment horizontal="right"/>
    </xf>
    <xf numFmtId="165" fontId="6" fillId="0" borderId="4" xfId="0" applyNumberFormat="1" applyFont="1" applyBorder="1" applyAlignment="1">
      <alignment horizontal="right"/>
    </xf>
    <xf numFmtId="3" fontId="0" fillId="0" borderId="7" xfId="0" applyNumberFormat="1" applyBorder="1" applyAlignment="1">
      <alignment horizontal="right"/>
    </xf>
    <xf numFmtId="165" fontId="6" fillId="0" borderId="11" xfId="0" applyNumberFormat="1" applyFont="1" applyBorder="1" applyAlignment="1">
      <alignment horizontal="right"/>
    </xf>
    <xf numFmtId="165" fontId="0" fillId="0" borderId="8" xfId="0" applyNumberFormat="1" applyBorder="1" applyAlignment="1">
      <alignment horizontal="right"/>
    </xf>
    <xf numFmtId="3" fontId="0" fillId="0" borderId="2" xfId="0" applyNumberFormat="1" applyBorder="1" applyAlignment="1">
      <alignment horizontal="right"/>
    </xf>
    <xf numFmtId="165" fontId="0" fillId="0" borderId="4" xfId="0" applyNumberFormat="1" applyBorder="1" applyAlignment="1">
      <alignment horizontal="right"/>
    </xf>
    <xf numFmtId="165" fontId="4" fillId="0" borderId="2" xfId="0" applyNumberFormat="1" applyFont="1" applyBorder="1" applyAlignment="1">
      <alignment horizontal="right"/>
    </xf>
    <xf numFmtId="0" fontId="0" fillId="0" borderId="2" xfId="0" quotePrefix="1" applyBorder="1" applyAlignment="1">
      <alignment horizontal="left"/>
    </xf>
    <xf numFmtId="0" fontId="0" fillId="0" borderId="2" xfId="0" applyBorder="1" applyAlignment="1">
      <alignment horizontal="right"/>
    </xf>
    <xf numFmtId="168" fontId="0" fillId="0" borderId="2" xfId="0" applyNumberFormat="1" applyBorder="1" applyAlignment="1">
      <alignment horizontal="right"/>
    </xf>
    <xf numFmtId="5" fontId="6" fillId="0" borderId="12" xfId="0" applyNumberFormat="1" applyFont="1" applyBorder="1" applyAlignment="1">
      <alignment horizontal="right"/>
    </xf>
    <xf numFmtId="5" fontId="0" fillId="0" borderId="13" xfId="0" applyNumberFormat="1" applyBorder="1" applyAlignment="1">
      <alignment horizontal="right"/>
    </xf>
    <xf numFmtId="5" fontId="0" fillId="0" borderId="14" xfId="0" applyNumberFormat="1" applyBorder="1" applyAlignment="1">
      <alignment horizontal="right"/>
    </xf>
    <xf numFmtId="5" fontId="6" fillId="0" borderId="15" xfId="0" applyNumberFormat="1" applyFont="1" applyBorder="1" applyAlignment="1">
      <alignment horizontal="right"/>
    </xf>
    <xf numFmtId="5" fontId="0" fillId="0" borderId="16" xfId="0" applyNumberFormat="1" applyBorder="1" applyAlignment="1">
      <alignment horizontal="right"/>
    </xf>
    <xf numFmtId="5" fontId="0" fillId="0" borderId="17" xfId="0" applyNumberFormat="1" applyBorder="1" applyAlignment="1">
      <alignment horizontal="right"/>
    </xf>
    <xf numFmtId="5" fontId="0" fillId="0" borderId="12" xfId="0" applyNumberFormat="1" applyBorder="1" applyAlignment="1">
      <alignment horizontal="right"/>
    </xf>
    <xf numFmtId="5" fontId="4" fillId="0" borderId="17" xfId="0" applyNumberFormat="1" applyFont="1" applyBorder="1" applyAlignment="1">
      <alignment horizontal="right"/>
    </xf>
    <xf numFmtId="5" fontId="4" fillId="0" borderId="0" xfId="0" applyNumberFormat="1" applyFont="1" applyAlignment="1">
      <alignment horizontal="right"/>
    </xf>
    <xf numFmtId="167" fontId="0" fillId="0" borderId="2" xfId="0" applyNumberFormat="1" applyBorder="1" applyAlignment="1">
      <alignment horizontal="center"/>
    </xf>
    <xf numFmtId="0" fontId="5" fillId="0" borderId="0" xfId="2"/>
    <xf numFmtId="0" fontId="5" fillId="0" borderId="0" xfId="2" applyAlignment="1">
      <alignment vertical="center"/>
    </xf>
    <xf numFmtId="0" fontId="13" fillId="0" borderId="0" xfId="1"/>
    <xf numFmtId="0" fontId="14" fillId="0" borderId="0" xfId="1" applyFont="1"/>
    <xf numFmtId="0" fontId="15" fillId="0" borderId="0" xfId="1" applyFont="1"/>
    <xf numFmtId="0" fontId="17" fillId="0" borderId="0" xfId="0" applyFont="1"/>
    <xf numFmtId="0" fontId="17" fillId="0" borderId="0" xfId="2" applyFont="1"/>
    <xf numFmtId="0" fontId="5" fillId="0" borderId="0" xfId="1" applyFont="1"/>
    <xf numFmtId="0" fontId="12" fillId="0" borderId="0" xfId="5">
      <alignment vertical="top"/>
    </xf>
    <xf numFmtId="0" fontId="14" fillId="0" borderId="0" xfId="0" applyFont="1"/>
    <xf numFmtId="14" fontId="5" fillId="0" borderId="18" xfId="2" quotePrefix="1" applyNumberFormat="1" applyBorder="1" applyAlignment="1">
      <alignment vertical="center"/>
    </xf>
    <xf numFmtId="0" fontId="5" fillId="0" borderId="1" xfId="0" quotePrefix="1" applyFont="1" applyBorder="1"/>
    <xf numFmtId="0" fontId="5" fillId="0" borderId="3" xfId="0" applyFont="1" applyBorder="1"/>
    <xf numFmtId="0" fontId="5" fillId="0" borderId="9" xfId="0" applyFont="1" applyBorder="1"/>
    <xf numFmtId="0" fontId="5" fillId="0" borderId="5" xfId="0" quotePrefix="1" applyFont="1" applyBorder="1"/>
    <xf numFmtId="0" fontId="5" fillId="0" borderId="1" xfId="2" applyBorder="1" applyAlignment="1">
      <alignment horizontal="left" vertical="center"/>
    </xf>
    <xf numFmtId="0" fontId="5" fillId="0" borderId="2" xfId="2" applyBorder="1" applyAlignment="1">
      <alignment horizontal="left" vertical="center"/>
    </xf>
    <xf numFmtId="0" fontId="5" fillId="0" borderId="17" xfId="2" applyBorder="1" applyAlignment="1">
      <alignment horizontal="left" vertical="center"/>
    </xf>
    <xf numFmtId="0" fontId="20" fillId="0" borderId="0" xfId="6"/>
    <xf numFmtId="15" fontId="20" fillId="0" borderId="0" xfId="6" applyNumberFormat="1"/>
    <xf numFmtId="8" fontId="20" fillId="0" borderId="0" xfId="6" applyNumberFormat="1"/>
    <xf numFmtId="10" fontId="20" fillId="0" borderId="0" xfId="7" applyNumberFormat="1"/>
    <xf numFmtId="10" fontId="20" fillId="0" borderId="0" xfId="6" applyNumberFormat="1"/>
    <xf numFmtId="170" fontId="20" fillId="0" borderId="0" xfId="6" applyNumberFormat="1"/>
    <xf numFmtId="164" fontId="0" fillId="0" borderId="2" xfId="0" applyNumberFormat="1" applyBorder="1"/>
    <xf numFmtId="164" fontId="0" fillId="0" borderId="0" xfId="0" applyNumberFormat="1"/>
    <xf numFmtId="164" fontId="0" fillId="0" borderId="8" xfId="0" applyNumberFormat="1" applyBorder="1"/>
    <xf numFmtId="169" fontId="0" fillId="0" borderId="2" xfId="0" applyNumberFormat="1" applyBorder="1"/>
    <xf numFmtId="164" fontId="0" fillId="0" borderId="4" xfId="0" applyNumberFormat="1" applyBorder="1"/>
    <xf numFmtId="0" fontId="5" fillId="0" borderId="0" xfId="0" applyFont="1" applyAlignment="1">
      <alignment horizontal="center"/>
    </xf>
    <xf numFmtId="164" fontId="0" fillId="0" borderId="0" xfId="0" applyNumberFormat="1" applyAlignment="1">
      <alignment horizontal="right"/>
    </xf>
    <xf numFmtId="10" fontId="0" fillId="0" borderId="0" xfId="0" applyNumberFormat="1" applyAlignment="1">
      <alignment horizontal="right"/>
    </xf>
    <xf numFmtId="0" fontId="4" fillId="0" borderId="18" xfId="2" applyFont="1" applyBorder="1" applyAlignment="1">
      <alignment horizontal="center" vertical="center"/>
    </xf>
    <xf numFmtId="0" fontId="4" fillId="0" borderId="2" xfId="2" applyFont="1" applyBorder="1" applyAlignment="1">
      <alignment horizontal="centerContinuous" vertical="center"/>
    </xf>
    <xf numFmtId="0" fontId="4" fillId="0" borderId="17" xfId="2" applyFont="1" applyBorder="1" applyAlignment="1">
      <alignment horizontal="centerContinuous" vertical="center"/>
    </xf>
    <xf numFmtId="0" fontId="4" fillId="0" borderId="1" xfId="2" applyFont="1" applyBorder="1" applyAlignment="1">
      <alignment horizontal="left" vertical="center"/>
    </xf>
    <xf numFmtId="0" fontId="17" fillId="0" borderId="0" xfId="6" applyFont="1"/>
    <xf numFmtId="0" fontId="17" fillId="0" borderId="0" xfId="8" applyFont="1"/>
    <xf numFmtId="0" fontId="21" fillId="0" borderId="0" xfId="4" applyFont="1"/>
    <xf numFmtId="0" fontId="5" fillId="0" borderId="0" xfId="8"/>
    <xf numFmtId="0" fontId="6" fillId="0" borderId="0" xfId="8" applyFont="1"/>
    <xf numFmtId="0" fontId="6" fillId="0" borderId="0" xfId="2" applyFont="1"/>
    <xf numFmtId="15" fontId="20" fillId="3" borderId="0" xfId="6" applyNumberFormat="1" applyFill="1"/>
    <xf numFmtId="0" fontId="5" fillId="0" borderId="0" xfId="0" applyFont="1" applyAlignment="1">
      <alignment horizontal="right"/>
    </xf>
    <xf numFmtId="171" fontId="5" fillId="0" borderId="0" xfId="0" quotePrefix="1" applyNumberFormat="1" applyFont="1" applyAlignment="1">
      <alignment horizontal="right"/>
    </xf>
    <xf numFmtId="0" fontId="22" fillId="3" borderId="0" xfId="0" applyFont="1" applyFill="1" applyAlignment="1">
      <alignment horizontal="center"/>
    </xf>
    <xf numFmtId="0" fontId="4" fillId="0" borderId="0" xfId="0" applyFont="1" applyAlignment="1">
      <alignment horizontal="left"/>
    </xf>
    <xf numFmtId="0" fontId="2" fillId="0" borderId="0" xfId="6" applyFont="1"/>
    <xf numFmtId="0" fontId="5" fillId="0" borderId="6" xfId="0" quotePrefix="1" applyFont="1" applyBorder="1"/>
    <xf numFmtId="0" fontId="5" fillId="0" borderId="0" xfId="0" applyFont="1" applyAlignment="1">
      <alignment horizontal="left" indent="1"/>
    </xf>
    <xf numFmtId="164" fontId="6" fillId="0" borderId="3" xfId="0" applyNumberFormat="1" applyFont="1" applyBorder="1"/>
    <xf numFmtId="164" fontId="0" fillId="0" borderId="5" xfId="0" applyNumberFormat="1" applyBorder="1"/>
    <xf numFmtId="164" fontId="6" fillId="0" borderId="10" xfId="0" applyNumberFormat="1" applyFont="1" applyBorder="1"/>
    <xf numFmtId="164" fontId="0" fillId="0" borderId="9" xfId="0" applyNumberFormat="1" applyBorder="1"/>
    <xf numFmtId="0" fontId="4" fillId="0" borderId="5" xfId="0" applyFont="1" applyBorder="1"/>
    <xf numFmtId="168" fontId="0" fillId="0" borderId="1" xfId="0" applyNumberFormat="1" applyBorder="1" applyAlignment="1">
      <alignment horizontal="right"/>
    </xf>
    <xf numFmtId="169" fontId="0" fillId="0" borderId="1" xfId="0" applyNumberFormat="1" applyBorder="1"/>
    <xf numFmtId="164" fontId="0" fillId="0" borderId="1" xfId="0" applyNumberFormat="1" applyBorder="1"/>
    <xf numFmtId="164" fontId="0" fillId="0" borderId="3" xfId="0" applyNumberFormat="1" applyBorder="1"/>
    <xf numFmtId="174" fontId="0" fillId="0" borderId="0" xfId="0" applyNumberFormat="1" applyAlignment="1">
      <alignment horizontal="right"/>
    </xf>
    <xf numFmtId="175" fontId="0" fillId="0" borderId="0" xfId="10" applyNumberFormat="1" applyFont="1"/>
    <xf numFmtId="174" fontId="0" fillId="0" borderId="0" xfId="0" applyNumberFormat="1"/>
    <xf numFmtId="0" fontId="0" fillId="0" borderId="0" xfId="0" applyAlignment="1">
      <alignment horizontal="right"/>
    </xf>
    <xf numFmtId="177" fontId="5" fillId="0" borderId="0" xfId="0" applyNumberFormat="1" applyFont="1" applyAlignment="1">
      <alignment horizontal="left"/>
    </xf>
    <xf numFmtId="172" fontId="5" fillId="0" borderId="0" xfId="9" applyNumberFormat="1" applyFont="1" applyAlignment="1">
      <alignment horizontal="left"/>
    </xf>
    <xf numFmtId="175" fontId="5" fillId="0" borderId="0" xfId="10" applyNumberFormat="1" applyFont="1"/>
    <xf numFmtId="176" fontId="0" fillId="0" borderId="0" xfId="10" applyNumberFormat="1" applyFont="1"/>
    <xf numFmtId="3" fontId="5" fillId="0" borderId="0" xfId="9" applyNumberFormat="1" applyFont="1"/>
    <xf numFmtId="3" fontId="0" fillId="0" borderId="0" xfId="0" applyNumberFormat="1"/>
    <xf numFmtId="3" fontId="5" fillId="0" borderId="0" xfId="0" applyNumberFormat="1" applyFont="1"/>
    <xf numFmtId="0" fontId="0" fillId="0" borderId="0" xfId="0" applyAlignment="1">
      <alignment wrapText="1"/>
    </xf>
    <xf numFmtId="0" fontId="7" fillId="0" borderId="0" xfId="0" applyFont="1" applyAlignment="1">
      <alignment horizontal="left" wrapText="1"/>
    </xf>
    <xf numFmtId="0" fontId="7" fillId="0" borderId="0" xfId="0" quotePrefix="1" applyFont="1" applyAlignment="1">
      <alignment wrapText="1"/>
    </xf>
    <xf numFmtId="0" fontId="0" fillId="0" borderId="0" xfId="0" applyAlignment="1">
      <alignment horizontal="left" wrapText="1"/>
    </xf>
    <xf numFmtId="171" fontId="5" fillId="0" borderId="0" xfId="0" quotePrefix="1" applyNumberFormat="1" applyFont="1" applyAlignment="1">
      <alignment horizontal="right" wrapText="1"/>
    </xf>
    <xf numFmtId="0" fontId="5" fillId="0" borderId="0" xfId="0" applyFont="1" applyAlignment="1">
      <alignment wrapText="1"/>
    </xf>
    <xf numFmtId="0" fontId="0" fillId="0" borderId="8" xfId="0" applyBorder="1" applyAlignment="1">
      <alignment wrapText="1"/>
    </xf>
    <xf numFmtId="177" fontId="4" fillId="0" borderId="8" xfId="0" applyNumberFormat="1" applyFont="1" applyBorder="1" applyAlignment="1">
      <alignment horizontal="center" vertical="center" wrapText="1"/>
    </xf>
    <xf numFmtId="177" fontId="4" fillId="0" borderId="8" xfId="0" applyNumberFormat="1" applyFont="1" applyBorder="1" applyAlignment="1">
      <alignment horizontal="center" wrapText="1"/>
    </xf>
    <xf numFmtId="0" fontId="5" fillId="0" borderId="0" xfId="0" applyFont="1" applyAlignment="1">
      <alignment horizontal="right" indent="1"/>
    </xf>
    <xf numFmtId="0" fontId="4" fillId="0" borderId="8" xfId="0" applyFont="1" applyBorder="1" applyAlignment="1">
      <alignment horizontal="center" wrapText="1"/>
    </xf>
    <xf numFmtId="165" fontId="25" fillId="0" borderId="0" xfId="0" applyNumberFormat="1" applyFont="1" applyAlignment="1">
      <alignment horizontal="right"/>
    </xf>
    <xf numFmtId="0" fontId="25" fillId="0" borderId="0" xfId="0" applyFont="1"/>
    <xf numFmtId="176" fontId="8" fillId="4" borderId="0" xfId="0" applyNumberFormat="1" applyFont="1" applyFill="1"/>
    <xf numFmtId="0" fontId="7" fillId="0" borderId="0" xfId="0" applyFont="1"/>
    <xf numFmtId="171" fontId="0" fillId="0" borderId="0" xfId="0" applyNumberFormat="1" applyAlignment="1">
      <alignment horizontal="right"/>
    </xf>
    <xf numFmtId="165" fontId="4" fillId="5" borderId="19" xfId="0" applyNumberFormat="1" applyFont="1" applyFill="1" applyBorder="1" applyAlignment="1">
      <alignment horizontal="right"/>
    </xf>
    <xf numFmtId="175" fontId="4" fillId="5" borderId="19" xfId="10" applyNumberFormat="1" applyFont="1" applyFill="1" applyBorder="1" applyAlignment="1">
      <alignment horizontal="right"/>
    </xf>
    <xf numFmtId="10" fontId="0" fillId="0" borderId="0" xfId="10" applyNumberFormat="1" applyFont="1" applyAlignment="1">
      <alignment horizontal="right"/>
    </xf>
    <xf numFmtId="0" fontId="0" fillId="0" borderId="5" xfId="0" applyBorder="1"/>
    <xf numFmtId="0" fontId="0" fillId="0" borderId="9" xfId="0" applyBorder="1"/>
    <xf numFmtId="164" fontId="4" fillId="0" borderId="1" xfId="0" applyNumberFormat="1" applyFont="1" applyBorder="1"/>
    <xf numFmtId="0" fontId="0" fillId="0" borderId="3" xfId="0" applyBorder="1"/>
    <xf numFmtId="0" fontId="0" fillId="0" borderId="6" xfId="0" quotePrefix="1" applyBorder="1"/>
    <xf numFmtId="171" fontId="0" fillId="0" borderId="0" xfId="0" quotePrefix="1" applyNumberFormat="1" applyAlignment="1">
      <alignment horizontal="right"/>
    </xf>
    <xf numFmtId="165" fontId="5" fillId="0" borderId="0" xfId="0" applyNumberFormat="1" applyFont="1" applyAlignment="1">
      <alignment horizontal="center"/>
    </xf>
    <xf numFmtId="0" fontId="4" fillId="5" borderId="0" xfId="0" applyFont="1" applyFill="1" applyAlignment="1">
      <alignment horizontal="center"/>
    </xf>
    <xf numFmtId="0" fontId="8" fillId="4" borderId="0" xfId="0" applyFont="1" applyFill="1"/>
    <xf numFmtId="0" fontId="4" fillId="5" borderId="0" xfId="0" applyFont="1" applyFill="1"/>
    <xf numFmtId="3" fontId="0" fillId="5" borderId="0" xfId="9" applyNumberFormat="1" applyFont="1" applyFill="1"/>
    <xf numFmtId="175" fontId="0" fillId="5" borderId="0" xfId="10" applyNumberFormat="1" applyFont="1" applyFill="1"/>
    <xf numFmtId="172" fontId="0" fillId="5" borderId="0" xfId="9" applyNumberFormat="1" applyFont="1" applyFill="1" applyAlignment="1">
      <alignment horizontal="left"/>
    </xf>
    <xf numFmtId="176" fontId="0" fillId="5" borderId="0" xfId="10" applyNumberFormat="1" applyFont="1" applyFill="1"/>
    <xf numFmtId="0" fontId="22" fillId="5" borderId="0" xfId="0" applyFont="1" applyFill="1" applyAlignment="1">
      <alignment horizontal="center"/>
    </xf>
    <xf numFmtId="0" fontId="12" fillId="5" borderId="0" xfId="5" applyFill="1">
      <alignment vertical="top"/>
    </xf>
    <xf numFmtId="0" fontId="5" fillId="5" borderId="0" xfId="2" applyFill="1"/>
    <xf numFmtId="0" fontId="26" fillId="0" borderId="0" xfId="11"/>
    <xf numFmtId="0" fontId="4" fillId="0" borderId="0" xfId="2" applyFont="1"/>
    <xf numFmtId="5" fontId="0" fillId="0" borderId="4" xfId="0" applyNumberFormat="1" applyBorder="1"/>
    <xf numFmtId="0" fontId="4" fillId="0" borderId="8" xfId="0" applyFont="1" applyBorder="1"/>
    <xf numFmtId="0" fontId="4" fillId="0" borderId="8" xfId="0" applyFont="1" applyBorder="1" applyAlignment="1">
      <alignment horizontal="right"/>
    </xf>
    <xf numFmtId="165" fontId="5" fillId="0" borderId="0" xfId="0" applyNumberFormat="1" applyFont="1" applyAlignment="1">
      <alignment horizontal="right"/>
    </xf>
    <xf numFmtId="0" fontId="0" fillId="4" borderId="4" xfId="0" applyFill="1" applyBorder="1"/>
    <xf numFmtId="176" fontId="0" fillId="4" borderId="4" xfId="10" applyNumberFormat="1" applyFont="1" applyFill="1" applyBorder="1"/>
    <xf numFmtId="0" fontId="5" fillId="0" borderId="22" xfId="0" applyFont="1" applyBorder="1" applyAlignment="1">
      <alignment horizontal="right"/>
    </xf>
    <xf numFmtId="0" fontId="5" fillId="0" borderId="23" xfId="0" applyFont="1" applyBorder="1" applyAlignment="1">
      <alignment horizontal="center"/>
    </xf>
    <xf numFmtId="0" fontId="0" fillId="0" borderId="24" xfId="0" applyBorder="1"/>
    <xf numFmtId="0" fontId="0" fillId="0" borderId="25" xfId="0" applyBorder="1" applyAlignment="1">
      <alignment horizontal="center"/>
    </xf>
    <xf numFmtId="0" fontId="0" fillId="0" borderId="26" xfId="0" applyBorder="1"/>
    <xf numFmtId="0" fontId="0" fillId="0" borderId="27" xfId="0" applyBorder="1" applyAlignment="1">
      <alignment horizontal="center"/>
    </xf>
    <xf numFmtId="0" fontId="0" fillId="5" borderId="0" xfId="0" applyFill="1"/>
    <xf numFmtId="0" fontId="2" fillId="3" borderId="0" xfId="6" applyFont="1" applyFill="1"/>
    <xf numFmtId="0" fontId="6" fillId="5" borderId="0" xfId="2" applyFont="1" applyFill="1"/>
    <xf numFmtId="0" fontId="5" fillId="0" borderId="0" xfId="2" applyAlignment="1">
      <alignment horizontal="left"/>
    </xf>
    <xf numFmtId="0" fontId="3" fillId="0" borderId="0" xfId="0" applyFont="1" applyFill="1" applyBorder="1"/>
    <xf numFmtId="9" fontId="7" fillId="0" borderId="0" xfId="10" applyFont="1" applyAlignment="1">
      <alignment horizontal="left" indent="2"/>
    </xf>
    <xf numFmtId="5" fontId="4" fillId="0" borderId="8" xfId="0" applyNumberFormat="1" applyFont="1" applyBorder="1"/>
    <xf numFmtId="0" fontId="4" fillId="0" borderId="4" xfId="0" applyFont="1" applyBorder="1"/>
    <xf numFmtId="0" fontId="4" fillId="0" borderId="4" xfId="0" applyFont="1" applyBorder="1" applyAlignment="1">
      <alignment horizontal="right"/>
    </xf>
    <xf numFmtId="5" fontId="4" fillId="0" borderId="4" xfId="0" applyNumberFormat="1" applyFont="1" applyBorder="1"/>
    <xf numFmtId="0" fontId="4" fillId="4" borderId="4" xfId="0" applyFont="1" applyFill="1" applyBorder="1"/>
    <xf numFmtId="7" fontId="0" fillId="0" borderId="0" xfId="0" applyNumberFormat="1" applyBorder="1" applyAlignment="1">
      <alignment horizontal="right"/>
    </xf>
    <xf numFmtId="7" fontId="0" fillId="0" borderId="5" xfId="0" applyNumberFormat="1" applyBorder="1" applyAlignment="1">
      <alignment horizontal="right"/>
    </xf>
    <xf numFmtId="7" fontId="0" fillId="0" borderId="9" xfId="0" applyNumberFormat="1" applyBorder="1" applyAlignment="1">
      <alignment horizontal="right"/>
    </xf>
    <xf numFmtId="0" fontId="24" fillId="6" borderId="0" xfId="0" applyFont="1" applyFill="1" applyAlignment="1">
      <alignment horizontal="center" vertical="top"/>
    </xf>
    <xf numFmtId="0" fontId="24" fillId="6" borderId="0" xfId="0" applyFont="1" applyFill="1" applyAlignment="1">
      <alignment horizontal="center" vertical="top" wrapText="1"/>
    </xf>
    <xf numFmtId="0" fontId="5" fillId="6" borderId="0" xfId="0" applyFont="1" applyFill="1" applyAlignment="1">
      <alignment horizontal="center"/>
    </xf>
    <xf numFmtId="0" fontId="5" fillId="6" borderId="0" xfId="0" applyFont="1" applyFill="1"/>
    <xf numFmtId="173" fontId="5" fillId="6" borderId="0" xfId="0" applyNumberFormat="1" applyFont="1" applyFill="1"/>
    <xf numFmtId="3" fontId="5" fillId="6" borderId="0" xfId="0" applyNumberFormat="1" applyFont="1" applyFill="1" applyAlignment="1">
      <alignment horizontal="center"/>
    </xf>
    <xf numFmtId="165" fontId="5" fillId="6" borderId="0" xfId="0" applyNumberFormat="1" applyFont="1" applyFill="1"/>
    <xf numFmtId="172" fontId="5" fillId="6" borderId="0" xfId="9" applyNumberFormat="1" applyFont="1" applyFill="1"/>
    <xf numFmtId="0" fontId="0" fillId="6" borderId="0" xfId="0" applyFill="1"/>
    <xf numFmtId="0" fontId="5" fillId="7" borderId="0" xfId="2" applyFill="1"/>
    <xf numFmtId="0" fontId="6" fillId="7" borderId="0" xfId="2" applyFont="1" applyFill="1"/>
    <xf numFmtId="3" fontId="4" fillId="5" borderId="20" xfId="0" applyNumberFormat="1" applyFont="1" applyFill="1" applyBorder="1" applyAlignment="1">
      <alignment horizontal="right"/>
    </xf>
    <xf numFmtId="0" fontId="4" fillId="8" borderId="0" xfId="0" applyFont="1" applyFill="1"/>
    <xf numFmtId="0" fontId="0" fillId="8" borderId="0" xfId="0" applyFill="1"/>
    <xf numFmtId="176" fontId="0" fillId="8" borderId="0" xfId="10" applyNumberFormat="1" applyFont="1" applyFill="1"/>
    <xf numFmtId="0" fontId="8" fillId="8" borderId="0" xfId="0" applyFont="1" applyFill="1"/>
    <xf numFmtId="176" fontId="8" fillId="8" borderId="0" xfId="0" applyNumberFormat="1" applyFont="1" applyFill="1"/>
    <xf numFmtId="7" fontId="4" fillId="8" borderId="1" xfId="0" applyNumberFormat="1" applyFont="1" applyFill="1" applyBorder="1"/>
    <xf numFmtId="0" fontId="4" fillId="8" borderId="2" xfId="0" applyFont="1" applyFill="1" applyBorder="1"/>
    <xf numFmtId="3" fontId="5" fillId="8" borderId="2" xfId="0" applyNumberFormat="1" applyFont="1" applyFill="1" applyBorder="1"/>
    <xf numFmtId="0" fontId="5" fillId="8" borderId="2" xfId="0" applyFont="1" applyFill="1" applyBorder="1"/>
    <xf numFmtId="5" fontId="4" fillId="8" borderId="17" xfId="0" applyNumberFormat="1" applyFont="1" applyFill="1" applyBorder="1" applyAlignment="1">
      <alignment horizontal="right"/>
    </xf>
    <xf numFmtId="0" fontId="8" fillId="7" borderId="0" xfId="0" applyFont="1" applyFill="1"/>
    <xf numFmtId="176" fontId="8" fillId="7" borderId="0" xfId="0" applyNumberFormat="1" applyFont="1" applyFill="1"/>
    <xf numFmtId="164" fontId="4" fillId="7" borderId="1" xfId="0" applyNumberFormat="1" applyFont="1" applyFill="1" applyBorder="1"/>
    <xf numFmtId="0" fontId="4" fillId="7" borderId="2" xfId="0" applyFont="1" applyFill="1" applyBorder="1"/>
    <xf numFmtId="165" fontId="4" fillId="7" borderId="2" xfId="0" applyNumberFormat="1" applyFont="1" applyFill="1" applyBorder="1" applyAlignment="1">
      <alignment horizontal="right"/>
    </xf>
    <xf numFmtId="5" fontId="4" fillId="7" borderId="17" xfId="0" applyNumberFormat="1" applyFont="1" applyFill="1" applyBorder="1" applyAlignment="1">
      <alignment horizontal="right"/>
    </xf>
    <xf numFmtId="0" fontId="4" fillId="7" borderId="0" xfId="0" applyFont="1" applyFill="1"/>
    <xf numFmtId="0" fontId="0" fillId="7" borderId="0" xfId="0" applyFill="1"/>
    <xf numFmtId="176" fontId="0" fillId="7" borderId="0" xfId="10" applyNumberFormat="1" applyFont="1" applyFill="1"/>
    <xf numFmtId="0" fontId="4" fillId="6" borderId="1" xfId="0" applyFont="1" applyFill="1" applyBorder="1"/>
    <xf numFmtId="0" fontId="0" fillId="6" borderId="2" xfId="0" applyFill="1" applyBorder="1"/>
    <xf numFmtId="0" fontId="0" fillId="6" borderId="17" xfId="0" applyFill="1" applyBorder="1"/>
    <xf numFmtId="0" fontId="5" fillId="9" borderId="22" xfId="0" applyFont="1" applyFill="1" applyBorder="1"/>
    <xf numFmtId="0" fontId="0" fillId="9" borderId="28" xfId="0" applyFill="1" applyBorder="1"/>
    <xf numFmtId="0" fontId="0" fillId="9" borderId="23" xfId="0" applyFill="1" applyBorder="1"/>
    <xf numFmtId="0" fontId="5" fillId="9" borderId="24" xfId="0" applyFont="1" applyFill="1" applyBorder="1"/>
    <xf numFmtId="0" fontId="0" fillId="9" borderId="0" xfId="0" applyFill="1" applyBorder="1"/>
    <xf numFmtId="0" fontId="0" fillId="9" borderId="25" xfId="0" applyFill="1" applyBorder="1"/>
    <xf numFmtId="0" fontId="5" fillId="9" borderId="26" xfId="0" applyFont="1" applyFill="1" applyBorder="1"/>
    <xf numFmtId="0" fontId="0" fillId="9" borderId="29" xfId="0" applyFill="1" applyBorder="1"/>
    <xf numFmtId="0" fontId="0" fillId="9" borderId="27" xfId="0" applyFill="1" applyBorder="1"/>
    <xf numFmtId="175" fontId="7" fillId="0" borderId="0" xfId="10" applyNumberFormat="1" applyFont="1" applyAlignment="1">
      <alignment horizontal="left" indent="2"/>
    </xf>
    <xf numFmtId="0" fontId="4" fillId="9" borderId="21" xfId="0" applyFont="1" applyFill="1" applyBorder="1"/>
    <xf numFmtId="0" fontId="0" fillId="9" borderId="21" xfId="0" applyFill="1" applyBorder="1"/>
    <xf numFmtId="3" fontId="5" fillId="9" borderId="21" xfId="0" applyNumberFormat="1" applyFont="1" applyFill="1" applyBorder="1"/>
    <xf numFmtId="172" fontId="5" fillId="9" borderId="21" xfId="9" applyNumberFormat="1" applyFont="1" applyFill="1" applyBorder="1" applyAlignment="1">
      <alignment horizontal="left"/>
    </xf>
    <xf numFmtId="176" fontId="5" fillId="9" borderId="21" xfId="0" applyNumberFormat="1" applyFont="1" applyFill="1" applyBorder="1"/>
    <xf numFmtId="0" fontId="8" fillId="10" borderId="0" xfId="0" applyFont="1" applyFill="1"/>
    <xf numFmtId="0" fontId="22" fillId="10" borderId="0" xfId="0" applyFont="1" applyFill="1" applyAlignment="1">
      <alignment horizontal="center"/>
    </xf>
    <xf numFmtId="0" fontId="8" fillId="11" borderId="0" xfId="0" applyFont="1" applyFill="1"/>
    <xf numFmtId="0" fontId="22" fillId="11" borderId="0" xfId="0" applyFont="1" applyFill="1" applyAlignment="1">
      <alignment horizontal="center"/>
    </xf>
    <xf numFmtId="3" fontId="22" fillId="11" borderId="0" xfId="0" applyNumberFormat="1" applyFont="1" applyFill="1"/>
    <xf numFmtId="165" fontId="5" fillId="0" borderId="0" xfId="9" applyNumberFormat="1" applyFont="1"/>
    <xf numFmtId="165" fontId="5" fillId="9" borderId="21" xfId="0" applyNumberFormat="1" applyFont="1" applyFill="1" applyBorder="1"/>
    <xf numFmtId="165" fontId="0" fillId="5" borderId="0" xfId="9" applyNumberFormat="1" applyFont="1" applyFill="1"/>
    <xf numFmtId="44" fontId="0" fillId="0" borderId="0" xfId="0" applyNumberFormat="1"/>
    <xf numFmtId="8" fontId="20" fillId="12" borderId="0" xfId="6" applyNumberFormat="1" applyFill="1"/>
    <xf numFmtId="0" fontId="1" fillId="0" borderId="0" xfId="6" applyFont="1"/>
    <xf numFmtId="0" fontId="5" fillId="0" borderId="1" xfId="2" applyBorder="1" applyAlignment="1">
      <alignment horizontal="left" vertical="center" wrapText="1"/>
    </xf>
    <xf numFmtId="0" fontId="5" fillId="0" borderId="2" xfId="2" applyBorder="1" applyAlignment="1">
      <alignment horizontal="left" vertical="center" wrapText="1"/>
    </xf>
    <xf numFmtId="0" fontId="5" fillId="0" borderId="17" xfId="2" applyBorder="1" applyAlignment="1">
      <alignment horizontal="left" vertical="center" wrapText="1"/>
    </xf>
    <xf numFmtId="0" fontId="27" fillId="0" borderId="0" xfId="6" applyFont="1" applyAlignment="1">
      <alignment horizontal="left" vertical="top" wrapText="1"/>
    </xf>
    <xf numFmtId="0" fontId="5" fillId="0" borderId="0" xfId="2" applyFont="1" applyAlignment="1">
      <alignment horizontal="left" wrapText="1"/>
    </xf>
    <xf numFmtId="0" fontId="4" fillId="0" borderId="0" xfId="0" applyFont="1" applyAlignment="1">
      <alignment horizontal="center"/>
    </xf>
    <xf numFmtId="0" fontId="4" fillId="2" borderId="1" xfId="0" applyFont="1" applyFill="1" applyBorder="1" applyAlignment="1">
      <alignment horizontal="left"/>
    </xf>
    <xf numFmtId="0" fontId="4" fillId="2" borderId="2" xfId="0" applyFont="1" applyFill="1" applyBorder="1" applyAlignment="1">
      <alignment horizontal="left"/>
    </xf>
    <xf numFmtId="0" fontId="4" fillId="2" borderId="17" xfId="0" applyFont="1" applyFill="1" applyBorder="1" applyAlignment="1">
      <alignment horizontal="left"/>
    </xf>
    <xf numFmtId="0" fontId="4" fillId="0" borderId="0" xfId="0" applyFont="1" applyAlignment="1">
      <alignment horizontal="left"/>
    </xf>
    <xf numFmtId="177" fontId="0" fillId="0" borderId="0" xfId="0" applyNumberFormat="1" applyAlignment="1">
      <alignment horizontal="left"/>
    </xf>
    <xf numFmtId="0" fontId="4" fillId="5" borderId="0" xfId="0" applyFont="1" applyFill="1" applyAlignment="1">
      <alignment horizontal="center"/>
    </xf>
    <xf numFmtId="177" fontId="5" fillId="0" borderId="0" xfId="0" applyNumberFormat="1" applyFont="1" applyAlignment="1">
      <alignment horizontal="left"/>
    </xf>
  </cellXfs>
  <cellStyles count="12">
    <cellStyle name="Between Paragraphs" xfId="1" xr:uid="{00000000-0005-0000-0000-000000000000}"/>
    <cellStyle name="Currency" xfId="9" builtinId="4"/>
    <cellStyle name="Fact Sheet Body Text" xfId="2" xr:uid="{00000000-0005-0000-0000-000001000000}"/>
    <cellStyle name="Fact Sheet Body Text 2" xfId="8" xr:uid="{402955CA-C0CF-4BE0-A662-08C04357F4B0}"/>
    <cellStyle name="Fact Sheet Heading 1" xfId="3" xr:uid="{00000000-0005-0000-0000-000002000000}"/>
    <cellStyle name="Fact Sheet Heading 2" xfId="4" xr:uid="{00000000-0005-0000-0000-000003000000}"/>
    <cellStyle name="Fact Sheet Heading 3" xfId="5" xr:uid="{00000000-0005-0000-0000-000004000000}"/>
    <cellStyle name="Hyperlink" xfId="11" builtinId="8"/>
    <cellStyle name="Normal" xfId="0" builtinId="0"/>
    <cellStyle name="Normal 3" xfId="6" xr:uid="{00000000-0005-0000-0000-000006000000}"/>
    <cellStyle name="Percent" xfId="10" builtinId="5"/>
    <cellStyle name="Percent 3" xfId="7" xr:uid="{00000000-0005-0000-0000-000007000000}"/>
  </cellStyles>
  <dxfs count="31">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34998626667073579"/>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34998626667073579"/>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34998626667073579"/>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34998626667073579"/>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34998626667073579"/>
        </patternFill>
      </fill>
    </dxf>
    <dxf>
      <font>
        <color theme="0" tint="-0.499984740745262"/>
      </font>
      <fill>
        <patternFill>
          <bgColor theme="0" tint="-0.24994659260841701"/>
        </patternFill>
      </fill>
    </dxf>
    <dxf>
      <fill>
        <patternFill>
          <bgColor theme="0" tint="-0.499984740745262"/>
        </patternFill>
      </fill>
    </dxf>
    <dxf>
      <fill>
        <patternFill>
          <bgColor theme="0" tint="-0.499984740745262"/>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34998626667073579"/>
        </patternFill>
      </fill>
    </dxf>
    <dxf>
      <font>
        <color theme="0" tint="-0.499984740745262"/>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'Annual Summary'!$C$2</c:f>
          <c:strCache>
            <c:ptCount val="1"/>
            <c:pt idx="0">
              <c:v>Sample Site</c:v>
            </c:pt>
          </c:strCache>
        </c:strRef>
      </c:tx>
      <c:layout>
        <c:manualLayout>
          <c:xMode val="edge"/>
          <c:yMode val="edge"/>
          <c:x val="0.38632197079578806"/>
          <c:y val="4.7281341479623049E-3"/>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'Annual Summary'!$I$19</c:f>
              <c:strCache>
                <c:ptCount val="1"/>
                <c:pt idx="0">
                  <c:v>Estimated Current Rate Design
($)</c:v>
                </c:pt>
              </c:strCache>
            </c:strRef>
          </c:tx>
          <c:spPr>
            <a:solidFill>
              <a:schemeClr val="accent1">
                <a:lumMod val="40000"/>
                <a:lumOff val="60000"/>
              </a:schemeClr>
            </a:solidFill>
            <a:ln>
              <a:noFill/>
            </a:ln>
            <a:effectLst/>
          </c:spPr>
          <c:invertIfNegative val="0"/>
          <c:dPt>
            <c:idx val="5"/>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3-850D-484E-B06F-7C6522B1EC0B}"/>
              </c:ext>
            </c:extLst>
          </c:dPt>
          <c:dPt>
            <c:idx val="6"/>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1-850D-484E-B06F-7C6522B1EC0B}"/>
              </c:ext>
            </c:extLst>
          </c:dPt>
          <c:cat>
            <c:strRef>
              <c:f>'Annual Summary'!$A$20:$A$26</c:f>
              <c:strCache>
                <c:ptCount val="7"/>
                <c:pt idx="0">
                  <c:v>2016</c:v>
                </c:pt>
                <c:pt idx="1">
                  <c:v>2017</c:v>
                </c:pt>
                <c:pt idx="2">
                  <c:v>2018</c:v>
                </c:pt>
                <c:pt idx="3">
                  <c:v>2019</c:v>
                </c:pt>
                <c:pt idx="4">
                  <c:v>2020</c:v>
                </c:pt>
                <c:pt idx="5">
                  <c:v>Average (2017 - 2020)</c:v>
                </c:pt>
                <c:pt idx="6">
                  <c:v>Adjusted Load Profile - 2019</c:v>
                </c:pt>
              </c:strCache>
            </c:strRef>
          </c:cat>
          <c:val>
            <c:numRef>
              <c:f>'Annual Summary'!$I$20:$I$26</c:f>
              <c:numCache>
                <c:formatCode>_("$"* #,##0_);_("$"* \(#,##0\);_("$"* "-"??_);_(@_)</c:formatCode>
                <c:ptCount val="7"/>
                <c:pt idx="0">
                  <c:v>6635891.4488951666</c:v>
                </c:pt>
                <c:pt idx="1">
                  <c:v>6965784.7330352273</c:v>
                </c:pt>
                <c:pt idx="2">
                  <c:v>7674997.0719891433</c:v>
                </c:pt>
                <c:pt idx="3">
                  <c:v>6353886.6159028998</c:v>
                </c:pt>
                <c:pt idx="4">
                  <c:v>5883626.0232382724</c:v>
                </c:pt>
                <c:pt idx="5">
                  <c:v>6719573.6110413857</c:v>
                </c:pt>
                <c:pt idx="6">
                  <c:v>6353886.6159028998</c:v>
                </c:pt>
              </c:numCache>
            </c:numRef>
          </c:val>
          <c:extLst>
            <c:ext xmlns:c16="http://schemas.microsoft.com/office/drawing/2014/chart" uri="{C3380CC4-5D6E-409C-BE32-E72D297353CC}">
              <c16:uniqueId val="{00000000-E002-4FA6-B8FB-36055CD9B413}"/>
            </c:ext>
          </c:extLst>
        </c:ser>
        <c:ser>
          <c:idx val="1"/>
          <c:order val="1"/>
          <c:tx>
            <c:strRef>
              <c:f>'Annual Summary'!$J$19</c:f>
              <c:strCache>
                <c:ptCount val="1"/>
                <c:pt idx="0">
                  <c:v>Estimated Preferred Rate Design
($)</c:v>
                </c:pt>
              </c:strCache>
            </c:strRef>
          </c:tx>
          <c:spPr>
            <a:solidFill>
              <a:schemeClr val="tx2">
                <a:lumMod val="60000"/>
                <a:lumOff val="40000"/>
              </a:schemeClr>
            </a:solidFill>
            <a:ln>
              <a:noFill/>
            </a:ln>
            <a:effectLst/>
          </c:spPr>
          <c:invertIfNegative val="0"/>
          <c:dPt>
            <c:idx val="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4-850D-484E-B06F-7C6522B1EC0B}"/>
              </c:ext>
            </c:extLst>
          </c:dPt>
          <c:dPt>
            <c:idx val="6"/>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2-850D-484E-B06F-7C6522B1EC0B}"/>
              </c:ext>
            </c:extLst>
          </c:dPt>
          <c:dLbls>
            <c:dLbl>
              <c:idx val="0"/>
              <c:tx>
                <c:rich>
                  <a:bodyPr/>
                  <a:lstStyle/>
                  <a:p>
                    <a:fld id="{9F7F55B2-9E16-4507-9D04-8314D34AF8D5}"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002-4FA6-B8FB-36055CD9B413}"/>
                </c:ext>
              </c:extLst>
            </c:dLbl>
            <c:dLbl>
              <c:idx val="1"/>
              <c:tx>
                <c:rich>
                  <a:bodyPr/>
                  <a:lstStyle/>
                  <a:p>
                    <a:fld id="{916CB672-D718-4638-A178-8A01888CAAA9}"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002-4FA6-B8FB-36055CD9B413}"/>
                </c:ext>
              </c:extLst>
            </c:dLbl>
            <c:dLbl>
              <c:idx val="2"/>
              <c:tx>
                <c:rich>
                  <a:bodyPr/>
                  <a:lstStyle/>
                  <a:p>
                    <a:fld id="{2EC629C0-4DCF-4498-B703-986D43FD250D}"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002-4FA6-B8FB-36055CD9B413}"/>
                </c:ext>
              </c:extLst>
            </c:dLbl>
            <c:dLbl>
              <c:idx val="3"/>
              <c:tx>
                <c:rich>
                  <a:bodyPr/>
                  <a:lstStyle/>
                  <a:p>
                    <a:fld id="{17280E69-94DE-4193-B43B-6031FA6C776B}"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002-4FA6-B8FB-36055CD9B413}"/>
                </c:ext>
              </c:extLst>
            </c:dLbl>
            <c:dLbl>
              <c:idx val="4"/>
              <c:tx>
                <c:rich>
                  <a:bodyPr/>
                  <a:lstStyle/>
                  <a:p>
                    <a:fld id="{302C9CC5-F884-469B-B6F0-606210ED1651}"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002-4FA6-B8FB-36055CD9B413}"/>
                </c:ext>
              </c:extLst>
            </c:dLbl>
            <c:dLbl>
              <c:idx val="5"/>
              <c:tx>
                <c:rich>
                  <a:bodyPr/>
                  <a:lstStyle/>
                  <a:p>
                    <a:fld id="{7CD49556-4A41-4A74-83E5-37B1EE1A78FC}"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50D-484E-B06F-7C6522B1EC0B}"/>
                </c:ext>
              </c:extLst>
            </c:dLbl>
            <c:dLbl>
              <c:idx val="6"/>
              <c:tx>
                <c:rich>
                  <a:bodyPr/>
                  <a:lstStyle/>
                  <a:p>
                    <a:fld id="{2C3457AF-A926-4474-858A-4A19B9F44847}"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850D-484E-B06F-7C6522B1EC0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'Annual Summary'!$A$20:$A$26</c:f>
              <c:strCache>
                <c:ptCount val="7"/>
                <c:pt idx="0">
                  <c:v>2016</c:v>
                </c:pt>
                <c:pt idx="1">
                  <c:v>2017</c:v>
                </c:pt>
                <c:pt idx="2">
                  <c:v>2018</c:v>
                </c:pt>
                <c:pt idx="3">
                  <c:v>2019</c:v>
                </c:pt>
                <c:pt idx="4">
                  <c:v>2020</c:v>
                </c:pt>
                <c:pt idx="5">
                  <c:v>Average (2017 - 2020)</c:v>
                </c:pt>
                <c:pt idx="6">
                  <c:v>Adjusted Load Profile - 2019</c:v>
                </c:pt>
              </c:strCache>
            </c:strRef>
          </c:cat>
          <c:val>
            <c:numRef>
              <c:f>'Annual Summary'!$J$20:$J$26</c:f>
              <c:numCache>
                <c:formatCode>_("$"* #,##0_);_("$"* \(#,##0\);_("$"* "-"??_);_(@_)</c:formatCode>
                <c:ptCount val="7"/>
                <c:pt idx="0">
                  <c:v>7016289.3774727499</c:v>
                </c:pt>
                <c:pt idx="1">
                  <c:v>7480936.7329566134</c:v>
                </c:pt>
                <c:pt idx="2">
                  <c:v>8085250.8470047414</c:v>
                </c:pt>
                <c:pt idx="3">
                  <c:v>6713092.8434453635</c:v>
                </c:pt>
                <c:pt idx="4">
                  <c:v>6314912.5930239409</c:v>
                </c:pt>
                <c:pt idx="5">
                  <c:v>7148548.2541076653</c:v>
                </c:pt>
                <c:pt idx="6">
                  <c:v>6713092.7792382156</c:v>
                </c:pt>
              </c:numCache>
            </c:numRef>
          </c:val>
          <c:extLst>
            <c:ext xmlns:c15="http://schemas.microsoft.com/office/drawing/2012/chart" uri="{02D57815-91ED-43cb-92C2-25804820EDAC}">
              <c15:datalabelsRange>
                <c15:f>'Annual Summary'!$L$20:$L$26</c15:f>
                <c15:dlblRangeCache>
                  <c:ptCount val="7"/>
                  <c:pt idx="0">
                    <c:v>+5.7% </c:v>
                  </c:pt>
                  <c:pt idx="1">
                    <c:v>+7.4% </c:v>
                  </c:pt>
                  <c:pt idx="2">
                    <c:v>+5.3% </c:v>
                  </c:pt>
                  <c:pt idx="3">
                    <c:v>+5.7% </c:v>
                  </c:pt>
                  <c:pt idx="4">
                    <c:v>+7.3% </c:v>
                  </c:pt>
                  <c:pt idx="5">
                    <c:v>+6.4% </c:v>
                  </c:pt>
                  <c:pt idx="6">
                    <c:v>+5.7% </c:v>
                  </c:pt>
                </c15:dlblRangeCache>
              </c15:datalabelsRange>
            </c:ext>
            <c:ext xmlns:c16="http://schemas.microsoft.com/office/drawing/2014/chart" uri="{C3380CC4-5D6E-409C-BE32-E72D297353CC}">
              <c16:uniqueId val="{00000001-E002-4FA6-B8FB-36055CD9B413}"/>
            </c:ext>
          </c:extLst>
        </c:ser>
        <c:dLbls>
          <c:showLegendKey val="0"/>
          <c:showVal val="0"/>
          <c:showCatName val="0"/>
          <c:showSerName val="0"/>
          <c:showPercent val="0"/>
          <c:showBubbleSize val="0"/>
        </c:dLbls>
        <c:gapWidth val="150"/>
        <c:overlap val="50"/>
        <c:axId val="605615120"/>
        <c:axId val="478826128"/>
      </c:barChart>
      <c:catAx>
        <c:axId val="6056151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Load</a:t>
                </a:r>
                <a:r>
                  <a:rPr lang="en-US" baseline="0"/>
                  <a:t> Consumption Profile - Year</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826128"/>
        <c:crosses val="autoZero"/>
        <c:auto val="1"/>
        <c:lblAlgn val="ctr"/>
        <c:lblOffset val="100"/>
        <c:noMultiLvlLbl val="0"/>
      </c:catAx>
      <c:valAx>
        <c:axId val="4788261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Annual</a:t>
                </a:r>
                <a:r>
                  <a:rPr lang="en-US" baseline="0"/>
                  <a:t>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5615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'Annual Summary'!$C$2</c:f>
          <c:strCache>
            <c:ptCount val="1"/>
            <c:pt idx="0">
              <c:v>Sample Site</c:v>
            </c:pt>
          </c:strCache>
        </c:strRef>
      </c:tx>
      <c:layout>
        <c:manualLayout>
          <c:xMode val="edge"/>
          <c:yMode val="edge"/>
          <c:x val="0.38632197079578806"/>
          <c:y val="4.7281341479623049E-3"/>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'Annual Summary'!$I$29</c:f>
              <c:strCache>
                <c:ptCount val="1"/>
                <c:pt idx="0">
                  <c:v>Estimated Current Rate Design
($)</c:v>
                </c:pt>
              </c:strCache>
            </c:strRef>
          </c:tx>
          <c:spPr>
            <a:solidFill>
              <a:schemeClr val="accent3">
                <a:lumMod val="40000"/>
                <a:lumOff val="60000"/>
              </a:schemeClr>
            </a:solidFill>
            <a:ln>
              <a:noFill/>
            </a:ln>
            <a:effectLst/>
          </c:spPr>
          <c:invertIfNegative val="0"/>
          <c:dPt>
            <c:idx val="5"/>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8-3CB4-4CC2-9098-02B0E7C078C0}"/>
              </c:ext>
            </c:extLst>
          </c:dPt>
          <c:dPt>
            <c:idx val="6"/>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A-3CB4-4CC2-9098-02B0E7C078C0}"/>
              </c:ext>
            </c:extLst>
          </c:dPt>
          <c:cat>
            <c:strRef>
              <c:f>'Annual Summary'!$A$30:$A$36</c:f>
              <c:strCache>
                <c:ptCount val="7"/>
                <c:pt idx="0">
                  <c:v>2016</c:v>
                </c:pt>
                <c:pt idx="1">
                  <c:v>2017</c:v>
                </c:pt>
                <c:pt idx="2">
                  <c:v>2018</c:v>
                </c:pt>
                <c:pt idx="3">
                  <c:v>2019</c:v>
                </c:pt>
                <c:pt idx="4">
                  <c:v>2020</c:v>
                </c:pt>
                <c:pt idx="5">
                  <c:v>Average (2017 - 2020)</c:v>
                </c:pt>
                <c:pt idx="6">
                  <c:v>Adjusted Load Profile - 2019</c:v>
                </c:pt>
              </c:strCache>
            </c:strRef>
          </c:cat>
          <c:val>
            <c:numRef>
              <c:f>'Annual Summary'!$I$30:$I$36</c:f>
              <c:numCache>
                <c:formatCode>_("$"* #,##0_);_("$"* \(#,##0\);_("$"* "-"??_);_(@_)</c:formatCode>
                <c:ptCount val="7"/>
                <c:pt idx="0">
                  <c:v>10977762.220803564</c:v>
                </c:pt>
                <c:pt idx="1">
                  <c:v>12727994.395376194</c:v>
                </c:pt>
                <c:pt idx="2">
                  <c:v>19718430.503235962</c:v>
                </c:pt>
                <c:pt idx="3">
                  <c:v>17110779.723485596</c:v>
                </c:pt>
                <c:pt idx="4">
                  <c:v>14844783.183085602</c:v>
                </c:pt>
                <c:pt idx="5">
                  <c:v>16100496.951295838</c:v>
                </c:pt>
                <c:pt idx="6">
                  <c:v>17110779.723485596</c:v>
                </c:pt>
              </c:numCache>
            </c:numRef>
          </c:val>
          <c:extLst>
            <c:ext xmlns:c16="http://schemas.microsoft.com/office/drawing/2014/chart" uri="{C3380CC4-5D6E-409C-BE32-E72D297353CC}">
              <c16:uniqueId val="{00000000-3CB4-4CC2-9098-02B0E7C078C0}"/>
            </c:ext>
          </c:extLst>
        </c:ser>
        <c:ser>
          <c:idx val="1"/>
          <c:order val="1"/>
          <c:tx>
            <c:strRef>
              <c:f>'Annual Summary'!$J$29</c:f>
              <c:strCache>
                <c:ptCount val="1"/>
                <c:pt idx="0">
                  <c:v>Estimated Preferred Rate Design
($)</c:v>
                </c:pt>
              </c:strCache>
            </c:strRef>
          </c:tx>
          <c:spPr>
            <a:solidFill>
              <a:schemeClr val="accent3">
                <a:lumMod val="75000"/>
              </a:schemeClr>
            </a:solidFill>
            <a:ln>
              <a:noFill/>
            </a:ln>
            <a:effectLst/>
          </c:spPr>
          <c:invertIfNegative val="0"/>
          <c:dPt>
            <c:idx val="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9-3CB4-4CC2-9098-02B0E7C078C0}"/>
              </c:ext>
            </c:extLst>
          </c:dPt>
          <c:dPt>
            <c:idx val="6"/>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B-3CB4-4CC2-9098-02B0E7C078C0}"/>
              </c:ext>
            </c:extLst>
          </c:dPt>
          <c:dLbls>
            <c:dLbl>
              <c:idx val="0"/>
              <c:tx>
                <c:rich>
                  <a:bodyPr/>
                  <a:lstStyle/>
                  <a:p>
                    <a:fld id="{9D2739D0-C74E-4B8E-B80A-6FA708A1DAE5}"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3CB4-4CC2-9098-02B0E7C078C0}"/>
                </c:ext>
              </c:extLst>
            </c:dLbl>
            <c:dLbl>
              <c:idx val="1"/>
              <c:tx>
                <c:rich>
                  <a:bodyPr/>
                  <a:lstStyle/>
                  <a:p>
                    <a:fld id="{342A8E0D-2615-489D-805A-27D5F43ABDB1}"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CB4-4CC2-9098-02B0E7C078C0}"/>
                </c:ext>
              </c:extLst>
            </c:dLbl>
            <c:dLbl>
              <c:idx val="2"/>
              <c:tx>
                <c:rich>
                  <a:bodyPr/>
                  <a:lstStyle/>
                  <a:p>
                    <a:fld id="{EEC608A7-7879-4F47-ADEB-FF587B061161}"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CB4-4CC2-9098-02B0E7C078C0}"/>
                </c:ext>
              </c:extLst>
            </c:dLbl>
            <c:dLbl>
              <c:idx val="3"/>
              <c:tx>
                <c:rich>
                  <a:bodyPr/>
                  <a:lstStyle/>
                  <a:p>
                    <a:fld id="{4CAB070A-0816-4D2D-802F-4CD24F11A4AF}"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CB4-4CC2-9098-02B0E7C078C0}"/>
                </c:ext>
              </c:extLst>
            </c:dLbl>
            <c:dLbl>
              <c:idx val="4"/>
              <c:tx>
                <c:rich>
                  <a:bodyPr/>
                  <a:lstStyle/>
                  <a:p>
                    <a:fld id="{A251A1E8-96B8-45DB-9395-DD9E96CA4096}"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CB4-4CC2-9098-02B0E7C078C0}"/>
                </c:ext>
              </c:extLst>
            </c:dLbl>
            <c:dLbl>
              <c:idx val="5"/>
              <c:tx>
                <c:rich>
                  <a:bodyPr/>
                  <a:lstStyle/>
                  <a:p>
                    <a:fld id="{C0BD0B6A-1C5B-47BC-AE90-946AF08FA4B8}"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3CB4-4CC2-9098-02B0E7C078C0}"/>
                </c:ext>
              </c:extLst>
            </c:dLbl>
            <c:dLbl>
              <c:idx val="6"/>
              <c:tx>
                <c:rich>
                  <a:bodyPr/>
                  <a:lstStyle/>
                  <a:p>
                    <a:fld id="{797E6467-B66B-4C78-A479-E4F284C7D904}"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3CB4-4CC2-9098-02B0E7C078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'Annual Summary'!$A$30:$A$36</c:f>
              <c:strCache>
                <c:ptCount val="7"/>
                <c:pt idx="0">
                  <c:v>2016</c:v>
                </c:pt>
                <c:pt idx="1">
                  <c:v>2017</c:v>
                </c:pt>
                <c:pt idx="2">
                  <c:v>2018</c:v>
                </c:pt>
                <c:pt idx="3">
                  <c:v>2019</c:v>
                </c:pt>
                <c:pt idx="4">
                  <c:v>2020</c:v>
                </c:pt>
                <c:pt idx="5">
                  <c:v>Average (2017 - 2020)</c:v>
                </c:pt>
                <c:pt idx="6">
                  <c:v>Adjusted Load Profile - 2019</c:v>
                </c:pt>
              </c:strCache>
            </c:strRef>
          </c:cat>
          <c:val>
            <c:numRef>
              <c:f>'Annual Summary'!$J$30:$J$36</c:f>
              <c:numCache>
                <c:formatCode>_("$"* #,##0_);_("$"* \(#,##0\);_("$"* "-"??_);_(@_)</c:formatCode>
                <c:ptCount val="7"/>
                <c:pt idx="0">
                  <c:v>11358160.149381148</c:v>
                </c:pt>
                <c:pt idx="1">
                  <c:v>13243146.395297579</c:v>
                </c:pt>
                <c:pt idx="2">
                  <c:v>20128684.278251559</c:v>
                </c:pt>
                <c:pt idx="3">
                  <c:v>17469985.95102806</c:v>
                </c:pt>
                <c:pt idx="4">
                  <c:v>15276069.752871269</c:v>
                </c:pt>
                <c:pt idx="5">
                  <c:v>16529471.594362115</c:v>
                </c:pt>
                <c:pt idx="6">
                  <c:v>17469985.886820912</c:v>
                </c:pt>
              </c:numCache>
            </c:numRef>
          </c:val>
          <c:extLst>
            <c:ext xmlns:c15="http://schemas.microsoft.com/office/drawing/2012/chart" uri="{02D57815-91ED-43cb-92C2-25804820EDAC}">
              <c15:datalabelsRange>
                <c15:f>'Annual Summary'!$L$30:$L$36</c15:f>
                <c15:dlblRangeCache>
                  <c:ptCount val="7"/>
                  <c:pt idx="0">
                    <c:v>+3.5% </c:v>
                  </c:pt>
                  <c:pt idx="1">
                    <c:v>+4.0% </c:v>
                  </c:pt>
                  <c:pt idx="2">
                    <c:v>+2.1% </c:v>
                  </c:pt>
                  <c:pt idx="3">
                    <c:v>+2.1% </c:v>
                  </c:pt>
                  <c:pt idx="4">
                    <c:v>+2.9% </c:v>
                  </c:pt>
                  <c:pt idx="5">
                    <c:v>+2.7% </c:v>
                  </c:pt>
                  <c:pt idx="6">
                    <c:v>+2.1% </c:v>
                  </c:pt>
                </c15:dlblRangeCache>
              </c15:datalabelsRange>
            </c:ext>
            <c:ext xmlns:c16="http://schemas.microsoft.com/office/drawing/2014/chart" uri="{C3380CC4-5D6E-409C-BE32-E72D297353CC}">
              <c16:uniqueId val="{00000006-3CB4-4CC2-9098-02B0E7C078C0}"/>
            </c:ext>
          </c:extLst>
        </c:ser>
        <c:dLbls>
          <c:showLegendKey val="0"/>
          <c:showVal val="0"/>
          <c:showCatName val="0"/>
          <c:showSerName val="0"/>
          <c:showPercent val="0"/>
          <c:showBubbleSize val="0"/>
        </c:dLbls>
        <c:gapWidth val="150"/>
        <c:overlap val="50"/>
        <c:axId val="605615120"/>
        <c:axId val="478826128"/>
      </c:barChart>
      <c:catAx>
        <c:axId val="6056151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Load</a:t>
                </a:r>
                <a:r>
                  <a:rPr lang="en-US" baseline="0"/>
                  <a:t> Consumption Profile - Year</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826128"/>
        <c:crosses val="autoZero"/>
        <c:auto val="1"/>
        <c:lblAlgn val="ctr"/>
        <c:lblOffset val="100"/>
        <c:noMultiLvlLbl val="0"/>
      </c:catAx>
      <c:valAx>
        <c:axId val="4788261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Annual</a:t>
                </a:r>
                <a:r>
                  <a:rPr lang="en-US" baseline="0"/>
                  <a:t>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5615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533067</xdr:colOff>
      <xdr:row>1</xdr:row>
      <xdr:rowOff>24848</xdr:rowOff>
    </xdr:from>
    <xdr:to>
      <xdr:col>6</xdr:col>
      <xdr:colOff>452314</xdr:colOff>
      <xdr:row>8</xdr:row>
      <xdr:rowOff>13253</xdr:rowOff>
    </xdr:to>
    <xdr:pic>
      <xdr:nvPicPr>
        <xdr:cNvPr id="6" name="Picture 5">
          <a:extLst>
            <a:ext uri="{FF2B5EF4-FFF2-40B4-BE49-F238E27FC236}">
              <a16:creationId xmlns:a16="http://schemas.microsoft.com/office/drawing/2014/main" id="{6BD493EE-E520-43D6-BD66-E85FF136464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80"/>
        <a:stretch/>
      </xdr:blipFill>
      <xdr:spPr bwMode="auto">
        <a:xfrm>
          <a:off x="533067" y="192488"/>
          <a:ext cx="6421012" cy="1161885"/>
        </a:xfrm>
        <a:prstGeom prst="rect">
          <a:avLst/>
        </a:prstGeom>
        <a:noFill/>
      </xdr:spPr>
    </xdr:pic>
    <xdr:clientData/>
  </xdr:twoCellAnchor>
  <xdr:twoCellAnchor editAs="absolute">
    <xdr:from>
      <xdr:col>1</xdr:col>
      <xdr:colOff>7620</xdr:colOff>
      <xdr:row>1</xdr:row>
      <xdr:rowOff>29845</xdr:rowOff>
    </xdr:from>
    <xdr:to>
      <xdr:col>6</xdr:col>
      <xdr:colOff>235575</xdr:colOff>
      <xdr:row>6</xdr:row>
      <xdr:rowOff>133398</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514350" y="190500"/>
          <a:ext cx="5943600" cy="914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800" b="0" i="0" u="none" strike="noStrike" baseline="0">
              <a:solidFill>
                <a:schemeClr val="tx2"/>
              </a:solidFill>
              <a:latin typeface="Arial"/>
              <a:cs typeface="Arial"/>
            </a:rPr>
            <a:t>Individual Site Bill Impact Tool</a:t>
          </a:r>
        </a:p>
      </xdr:txBody>
    </xdr:sp>
    <xdr:clientData/>
  </xdr:twoCellAnchor>
  <xdr:twoCellAnchor>
    <xdr:from>
      <xdr:col>1</xdr:col>
      <xdr:colOff>0</xdr:colOff>
      <xdr:row>59</xdr:row>
      <xdr:rowOff>0</xdr:rowOff>
    </xdr:from>
    <xdr:to>
      <xdr:col>2</xdr:col>
      <xdr:colOff>994875</xdr:colOff>
      <xdr:row>59</xdr:row>
      <xdr:rowOff>0</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514350" y="7962900"/>
          <a:ext cx="184072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absoluteAnchor>
    <xdr:pos x="3971925" y="38100"/>
    <xdr:ext cx="7277101" cy="2686049"/>
    <xdr:graphicFrame macro="">
      <xdr:nvGraphicFramePr>
        <xdr:cNvPr id="2" name="Chart 1">
          <a:extLst>
            <a:ext uri="{FF2B5EF4-FFF2-40B4-BE49-F238E27FC236}">
              <a16:creationId xmlns:a16="http://schemas.microsoft.com/office/drawing/2014/main" id="{4E444EA5-7BB0-4D7B-8802-6B0FD66F4D7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3952875" y="7172325"/>
    <xdr:ext cx="7277101" cy="2686049"/>
    <xdr:graphicFrame macro="">
      <xdr:nvGraphicFramePr>
        <xdr:cNvPr id="3" name="Chart 2">
          <a:extLst>
            <a:ext uri="{FF2B5EF4-FFF2-40B4-BE49-F238E27FC236}">
              <a16:creationId xmlns:a16="http://schemas.microsoft.com/office/drawing/2014/main" id="{A9936F6C-B7D8-4040-BE90-A70A74B3FCF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0.03534</cdr:x>
      <cdr:y>0.65957</cdr:y>
    </cdr:from>
    <cdr:to>
      <cdr:x>0.16099</cdr:x>
      <cdr:y>1</cdr:y>
    </cdr:to>
    <cdr:sp macro="" textlink="">
      <cdr:nvSpPr>
        <cdr:cNvPr id="2" name="TextBox 1">
          <a:extLst xmlns:a="http://schemas.openxmlformats.org/drawingml/2006/main">
            <a:ext uri="{FF2B5EF4-FFF2-40B4-BE49-F238E27FC236}">
              <a16:creationId xmlns:a16="http://schemas.microsoft.com/office/drawing/2014/main" id="{B790A919-0D7E-4446-92B9-D8D0622639B5}"/>
            </a:ext>
          </a:extLst>
        </cdr:cNvPr>
        <cdr:cNvSpPr txBox="1"/>
      </cdr:nvSpPr>
      <cdr:spPr>
        <a:xfrm xmlns:a="http://schemas.openxmlformats.org/drawingml/2006/main">
          <a:off x="257175" y="22288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4.xml><?xml version="1.0" encoding="utf-8"?>
<c:userShapes xmlns:c="http://schemas.openxmlformats.org/drawingml/2006/chart">
  <cdr:relSizeAnchor xmlns:cdr="http://schemas.openxmlformats.org/drawingml/2006/chartDrawing">
    <cdr:from>
      <cdr:x>0.03534</cdr:x>
      <cdr:y>0.65957</cdr:y>
    </cdr:from>
    <cdr:to>
      <cdr:x>0.16099</cdr:x>
      <cdr:y>1</cdr:y>
    </cdr:to>
    <cdr:sp macro="" textlink="">
      <cdr:nvSpPr>
        <cdr:cNvPr id="2" name="TextBox 1">
          <a:extLst xmlns:a="http://schemas.openxmlformats.org/drawingml/2006/main">
            <a:ext uri="{FF2B5EF4-FFF2-40B4-BE49-F238E27FC236}">
              <a16:creationId xmlns:a16="http://schemas.microsoft.com/office/drawing/2014/main" id="{B790A919-0D7E-4446-92B9-D8D0622639B5}"/>
            </a:ext>
          </a:extLst>
        </cdr:cNvPr>
        <cdr:cNvSpPr txBox="1"/>
      </cdr:nvSpPr>
      <cdr:spPr>
        <a:xfrm xmlns:a="http://schemas.openxmlformats.org/drawingml/2006/main">
          <a:off x="257175" y="22288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ariffdesign@aeso.ca"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9:G76"/>
  <sheetViews>
    <sheetView showGridLines="0" tabSelected="1" topLeftCell="A10" zoomScaleNormal="100" workbookViewId="0">
      <selection activeCell="E62" sqref="E62"/>
    </sheetView>
  </sheetViews>
  <sheetFormatPr defaultRowHeight="12.75" x14ac:dyDescent="0.2"/>
  <cols>
    <col min="1" max="1" width="7.5703125" customWidth="1"/>
    <col min="2" max="2" width="12.5703125" customWidth="1"/>
    <col min="3" max="3" width="19.42578125" customWidth="1"/>
    <col min="4" max="4" width="21.42578125" customWidth="1"/>
    <col min="5" max="5" width="20.85546875" customWidth="1"/>
    <col min="6" max="6" width="12.5703125" customWidth="1"/>
    <col min="7" max="7" width="7.5703125" customWidth="1"/>
  </cols>
  <sheetData>
    <row r="9" spans="2:7" s="63" customFormat="1" ht="6.6" customHeight="1" x14ac:dyDescent="0.2">
      <c r="B9" s="260" t="s">
        <v>175</v>
      </c>
      <c r="C9" s="260"/>
      <c r="D9" s="260"/>
      <c r="E9" s="260"/>
      <c r="F9" s="260"/>
    </row>
    <row r="10" spans="2:7" s="63" customFormat="1" ht="12.75" customHeight="1" x14ac:dyDescent="0.2">
      <c r="B10" s="260"/>
      <c r="C10" s="260"/>
      <c r="D10" s="260"/>
      <c r="E10" s="260"/>
      <c r="F10" s="260"/>
    </row>
    <row r="11" spans="2:7" s="63" customFormat="1" ht="12.75" customHeight="1" x14ac:dyDescent="0.2">
      <c r="B11" s="260"/>
      <c r="C11" s="260"/>
      <c r="D11" s="260"/>
      <c r="E11" s="260"/>
      <c r="F11" s="260"/>
    </row>
    <row r="12" spans="2:7" s="63" customFormat="1" ht="12.75" customHeight="1" x14ac:dyDescent="0.2">
      <c r="B12" s="260"/>
      <c r="C12" s="260"/>
      <c r="D12" s="260"/>
      <c r="E12" s="260"/>
      <c r="F12" s="260"/>
    </row>
    <row r="13" spans="2:7" s="65" customFormat="1" ht="6.75" customHeight="1" x14ac:dyDescent="0.2"/>
    <row r="14" spans="2:7" s="2" customFormat="1" ht="15.75" x14ac:dyDescent="0.25">
      <c r="B14" s="101" t="s">
        <v>0</v>
      </c>
    </row>
    <row r="15" spans="2:7" s="66" customFormat="1" ht="6.75" customHeight="1" x14ac:dyDescent="0.15"/>
    <row r="16" spans="2:7" s="186" customFormat="1" ht="54.75" customHeight="1" x14ac:dyDescent="0.2">
      <c r="B16" s="261" t="s">
        <v>176</v>
      </c>
      <c r="C16" s="261"/>
      <c r="D16" s="261"/>
      <c r="E16" s="261"/>
      <c r="F16" s="261"/>
      <c r="G16" s="261"/>
    </row>
    <row r="17" spans="1:7" s="65" customFormat="1" ht="6.75" customHeight="1" x14ac:dyDescent="0.2"/>
    <row r="18" spans="1:7" s="186" customFormat="1" ht="41.25" customHeight="1" x14ac:dyDescent="0.2">
      <c r="B18" s="261" t="s">
        <v>177</v>
      </c>
      <c r="C18" s="261"/>
      <c r="D18" s="261"/>
      <c r="E18" s="261"/>
      <c r="F18" s="261"/>
      <c r="G18" s="261"/>
    </row>
    <row r="19" spans="1:7" s="65" customFormat="1" ht="6.75" customHeight="1" x14ac:dyDescent="0.2"/>
    <row r="20" spans="1:7" s="186" customFormat="1" ht="54.75" customHeight="1" x14ac:dyDescent="0.2">
      <c r="B20" s="261" t="s">
        <v>178</v>
      </c>
      <c r="C20" s="261"/>
      <c r="D20" s="261"/>
      <c r="E20" s="261"/>
      <c r="F20" s="261"/>
      <c r="G20" s="261"/>
    </row>
    <row r="21" spans="1:7" s="63" customFormat="1" ht="6.75" customHeight="1" x14ac:dyDescent="0.2"/>
    <row r="22" spans="1:7" s="2" customFormat="1" ht="15.75" x14ac:dyDescent="0.25">
      <c r="B22" s="101" t="s">
        <v>158</v>
      </c>
    </row>
    <row r="23" spans="1:7" s="66" customFormat="1" ht="6.75" x14ac:dyDescent="0.15"/>
    <row r="24" spans="1:7" s="186" customFormat="1" ht="39.75" customHeight="1" x14ac:dyDescent="0.2">
      <c r="B24" s="261" t="s">
        <v>157</v>
      </c>
      <c r="C24" s="261"/>
      <c r="D24" s="261"/>
      <c r="E24" s="261"/>
      <c r="F24" s="261"/>
      <c r="G24" s="261"/>
    </row>
    <row r="25" spans="1:7" s="63" customFormat="1" ht="6.75" customHeight="1" x14ac:dyDescent="0.2"/>
    <row r="26" spans="1:7" s="2" customFormat="1" ht="15.75" x14ac:dyDescent="0.25">
      <c r="B26" s="101" t="s">
        <v>1</v>
      </c>
    </row>
    <row r="27" spans="1:7" s="66" customFormat="1" ht="6.75" x14ac:dyDescent="0.15"/>
    <row r="28" spans="1:7" s="186" customFormat="1" ht="39" customHeight="1" x14ac:dyDescent="0.2">
      <c r="B28" s="261" t="s">
        <v>179</v>
      </c>
      <c r="C28" s="261"/>
      <c r="D28" s="261"/>
      <c r="E28" s="261"/>
      <c r="F28" s="261"/>
      <c r="G28" s="261"/>
    </row>
    <row r="29" spans="1:7" s="67" customFormat="1" ht="6.75" customHeight="1" x14ac:dyDescent="0.15"/>
    <row r="30" spans="1:7" s="71" customFormat="1" ht="16.5" x14ac:dyDescent="0.2">
      <c r="A30" s="1"/>
      <c r="B30" s="71" t="s">
        <v>2</v>
      </c>
    </row>
    <row r="31" spans="1:7" s="63" customFormat="1" x14ac:dyDescent="0.2">
      <c r="B31" s="207" t="s">
        <v>165</v>
      </c>
      <c r="C31" s="207"/>
      <c r="D31" s="206"/>
      <c r="E31" s="206"/>
      <c r="F31" s="206"/>
      <c r="G31" s="206"/>
    </row>
    <row r="32" spans="1:7" s="63" customFormat="1" x14ac:dyDescent="0.2">
      <c r="B32" s="207" t="s">
        <v>167</v>
      </c>
      <c r="C32" s="207"/>
      <c r="D32" s="206"/>
      <c r="E32" s="206"/>
      <c r="F32" s="206"/>
      <c r="G32" s="206"/>
    </row>
    <row r="33" spans="1:7" s="65" customFormat="1" ht="6.75" customHeight="1" x14ac:dyDescent="0.2"/>
    <row r="34" spans="1:7" s="186" customFormat="1" ht="28.5" customHeight="1" x14ac:dyDescent="0.2">
      <c r="B34" s="261" t="s">
        <v>180</v>
      </c>
      <c r="C34" s="261"/>
      <c r="D34" s="261"/>
      <c r="E34" s="261"/>
      <c r="F34" s="261"/>
      <c r="G34" s="261"/>
    </row>
    <row r="35" spans="1:7" s="63" customFormat="1" ht="6.75" customHeight="1" x14ac:dyDescent="0.2"/>
    <row r="36" spans="1:7" s="186" customFormat="1" ht="28.5" customHeight="1" x14ac:dyDescent="0.2">
      <c r="B36" s="261" t="s">
        <v>155</v>
      </c>
      <c r="C36" s="261"/>
      <c r="D36" s="261"/>
      <c r="E36" s="261"/>
      <c r="F36" s="261"/>
      <c r="G36" s="261"/>
    </row>
    <row r="37" spans="1:7" s="67" customFormat="1" ht="6.75" customHeight="1" x14ac:dyDescent="0.15"/>
    <row r="38" spans="1:7" s="71" customFormat="1" ht="16.5" x14ac:dyDescent="0.2">
      <c r="A38" s="1"/>
      <c r="B38" s="167" t="s">
        <v>3</v>
      </c>
      <c r="C38" s="167"/>
      <c r="D38" s="167"/>
      <c r="E38" s="167"/>
      <c r="F38" s="167"/>
      <c r="G38" s="167"/>
    </row>
    <row r="39" spans="1:7" s="63" customFormat="1" x14ac:dyDescent="0.2">
      <c r="B39" s="185" t="s">
        <v>4</v>
      </c>
      <c r="C39" s="168"/>
      <c r="D39" s="168"/>
      <c r="E39" s="168"/>
      <c r="F39" s="168"/>
      <c r="G39" s="168"/>
    </row>
    <row r="40" spans="1:7" s="63" customFormat="1" x14ac:dyDescent="0.2">
      <c r="B40" s="185" t="s">
        <v>5</v>
      </c>
      <c r="C40" s="168"/>
      <c r="D40" s="168"/>
      <c r="E40" s="168"/>
      <c r="F40" s="168"/>
      <c r="G40" s="168"/>
    </row>
    <row r="41" spans="1:7" s="63" customFormat="1" x14ac:dyDescent="0.2">
      <c r="B41" s="168"/>
      <c r="C41" s="168"/>
      <c r="D41" s="168"/>
      <c r="E41" s="168"/>
      <c r="F41" s="168"/>
      <c r="G41" s="168"/>
    </row>
    <row r="42" spans="1:7" s="63" customFormat="1" ht="6.75" customHeight="1" x14ac:dyDescent="0.2"/>
    <row r="43" spans="1:7" s="63" customFormat="1" x14ac:dyDescent="0.2">
      <c r="B43" s="170" t="s">
        <v>156</v>
      </c>
      <c r="C43" s="170"/>
      <c r="D43" s="170"/>
      <c r="E43" s="169"/>
      <c r="F43" s="169" t="s">
        <v>6</v>
      </c>
    </row>
    <row r="44" spans="1:7" s="63" customFormat="1" x14ac:dyDescent="0.2"/>
    <row r="45" spans="1:7" s="102" customFormat="1" x14ac:dyDescent="0.2">
      <c r="B45" s="101" t="s">
        <v>7</v>
      </c>
    </row>
    <row r="46" spans="1:7" s="102" customFormat="1" ht="6.75" customHeight="1" x14ac:dyDescent="0.2"/>
    <row r="47" spans="1:7" s="102" customFormat="1" x14ac:dyDescent="0.2">
      <c r="B47" s="103" t="s">
        <v>8</v>
      </c>
    </row>
    <row r="48" spans="1:7" s="102" customFormat="1" x14ac:dyDescent="0.2">
      <c r="B48" s="103" t="s">
        <v>154</v>
      </c>
    </row>
    <row r="49" spans="2:6" s="102" customFormat="1" x14ac:dyDescent="0.2">
      <c r="B49" s="103" t="s">
        <v>9</v>
      </c>
    </row>
    <row r="50" spans="2:6" s="63" customFormat="1" x14ac:dyDescent="0.2">
      <c r="B50" s="104"/>
    </row>
    <row r="51" spans="2:6" ht="15.75" x14ac:dyDescent="0.25">
      <c r="B51" s="101" t="s">
        <v>10</v>
      </c>
      <c r="C51" s="2"/>
      <c r="D51" s="2"/>
      <c r="E51" s="2"/>
      <c r="F51" s="2"/>
    </row>
    <row r="52" spans="2:6" s="72" customFormat="1" ht="6.75" x14ac:dyDescent="0.15"/>
    <row r="53" spans="2:6" s="64" customFormat="1" ht="22.35" customHeight="1" x14ac:dyDescent="0.2">
      <c r="B53" s="95" t="s">
        <v>11</v>
      </c>
      <c r="C53" s="98" t="s">
        <v>12</v>
      </c>
      <c r="D53" s="96"/>
      <c r="E53" s="96"/>
      <c r="F53" s="97"/>
    </row>
    <row r="54" spans="2:6" s="64" customFormat="1" ht="25.5" customHeight="1" x14ac:dyDescent="0.2">
      <c r="B54" s="73" t="s">
        <v>13</v>
      </c>
      <c r="C54" s="78" t="s">
        <v>14</v>
      </c>
      <c r="D54" s="79"/>
      <c r="E54" s="79"/>
      <c r="F54" s="80"/>
    </row>
    <row r="55" spans="2:6" s="64" customFormat="1" ht="30" customHeight="1" x14ac:dyDescent="0.2">
      <c r="B55" s="73" t="s">
        <v>186</v>
      </c>
      <c r="C55" s="257" t="s">
        <v>185</v>
      </c>
      <c r="D55" s="258"/>
      <c r="E55" s="258"/>
      <c r="F55" s="259"/>
    </row>
    <row r="56" spans="2:6" s="64" customFormat="1" ht="30" customHeight="1" x14ac:dyDescent="0.2">
      <c r="B56" s="73" t="s">
        <v>187</v>
      </c>
      <c r="C56" s="257" t="s">
        <v>188</v>
      </c>
      <c r="D56" s="258"/>
      <c r="E56" s="258"/>
      <c r="F56" s="259"/>
    </row>
    <row r="57" spans="2:6" s="64" customFormat="1" ht="30" customHeight="1" x14ac:dyDescent="0.2">
      <c r="B57" s="73" t="s">
        <v>195</v>
      </c>
      <c r="C57" s="257" t="s">
        <v>189</v>
      </c>
      <c r="D57" s="258"/>
      <c r="E57" s="258"/>
      <c r="F57" s="259"/>
    </row>
    <row r="58" spans="2:6" s="63" customFormat="1" x14ac:dyDescent="0.2"/>
    <row r="59" spans="2:6" s="63" customFormat="1" ht="18" customHeight="1" x14ac:dyDescent="0.2"/>
    <row r="60" spans="2:6" s="63" customFormat="1" x14ac:dyDescent="0.2"/>
    <row r="61" spans="2:6" s="63" customFormat="1" ht="13.5" x14ac:dyDescent="0.2">
      <c r="B61" s="99" t="s">
        <v>15</v>
      </c>
    </row>
    <row r="62" spans="2:6" s="63" customFormat="1" x14ac:dyDescent="0.2">
      <c r="B62" s="99" t="s">
        <v>16</v>
      </c>
    </row>
    <row r="63" spans="2:6" s="68" customFormat="1" ht="12" customHeight="1" x14ac:dyDescent="0.2">
      <c r="B63" s="99" t="s">
        <v>17</v>
      </c>
    </row>
    <row r="64" spans="2:6" s="68" customFormat="1" ht="12" customHeight="1" x14ac:dyDescent="0.2">
      <c r="B64" s="100" t="s">
        <v>18</v>
      </c>
    </row>
    <row r="65" spans="1:1" s="68" customFormat="1" ht="12" customHeight="1" x14ac:dyDescent="0.2"/>
    <row r="66" spans="1:1" s="69" customFormat="1" ht="12" customHeight="1" x14ac:dyDescent="0.2"/>
    <row r="67" spans="1:1" s="63" customFormat="1" x14ac:dyDescent="0.2">
      <c r="A67" s="63" t="s">
        <v>19</v>
      </c>
    </row>
    <row r="68" spans="1:1" s="70" customFormat="1" x14ac:dyDescent="0.2"/>
    <row r="69" spans="1:1" s="41" customFormat="1" ht="18" customHeight="1" x14ac:dyDescent="0.2"/>
    <row r="70" spans="1:1" s="41" customFormat="1" x14ac:dyDescent="0.2"/>
    <row r="71" spans="1:1" s="41" customFormat="1" x14ac:dyDescent="0.2"/>
    <row r="72" spans="1:1" s="41" customFormat="1" x14ac:dyDescent="0.2"/>
    <row r="73" spans="1:1" s="41" customFormat="1" x14ac:dyDescent="0.2"/>
    <row r="74" spans="1:1" s="41" customFormat="1" x14ac:dyDescent="0.2"/>
    <row r="75" spans="1:1" s="41" customFormat="1" x14ac:dyDescent="0.2"/>
    <row r="76" spans="1:1" s="41" customFormat="1" x14ac:dyDescent="0.2"/>
  </sheetData>
  <mergeCells count="11">
    <mergeCell ref="C57:F57"/>
    <mergeCell ref="B9:F12"/>
    <mergeCell ref="B16:G16"/>
    <mergeCell ref="B18:G18"/>
    <mergeCell ref="B20:G20"/>
    <mergeCell ref="B24:G24"/>
    <mergeCell ref="C56:F56"/>
    <mergeCell ref="C55:F55"/>
    <mergeCell ref="B28:G28"/>
    <mergeCell ref="B34:G34"/>
    <mergeCell ref="B36:G36"/>
  </mergeCells>
  <hyperlinks>
    <hyperlink ref="F43" r:id="rId1" xr:uid="{96842C5A-5EE4-41CB-9415-03E89B727AD3}"/>
  </hyperlinks>
  <pageMargins left="0.25" right="0.25" top="0.25" bottom="0.5" header="0.35" footer="0.3"/>
  <pageSetup orientation="portrait" r:id="rId2"/>
  <headerFooter alignWithMargins="0">
    <oddFooter>&amp;L&amp;8Posted: 2021-01-08&amp;C&amp;8Page 1&amp;R&amp;8Public</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4"/>
  <sheetViews>
    <sheetView topLeftCell="B1" zoomScale="115" zoomScaleNormal="115" workbookViewId="0">
      <selection activeCell="I18" sqref="I18"/>
    </sheetView>
  </sheetViews>
  <sheetFormatPr defaultRowHeight="12.75" x14ac:dyDescent="0.2"/>
  <cols>
    <col min="1" max="1" width="40.5703125" bestFit="1" customWidth="1"/>
    <col min="2" max="2" width="37.42578125" bestFit="1" customWidth="1"/>
    <col min="3" max="7" width="10.5703125" bestFit="1" customWidth="1"/>
    <col min="8" max="8" width="11.5703125" bestFit="1" customWidth="1"/>
    <col min="9" max="9" width="12.85546875" customWidth="1"/>
    <col min="10" max="10" width="14.28515625" bestFit="1" customWidth="1"/>
    <col min="11" max="11" width="16.140625" bestFit="1" customWidth="1"/>
  </cols>
  <sheetData>
    <row r="1" spans="1:11" ht="15" x14ac:dyDescent="0.25">
      <c r="A1" s="81"/>
      <c r="B1" s="81" t="s">
        <v>126</v>
      </c>
      <c r="C1" s="81">
        <v>2015</v>
      </c>
      <c r="D1" s="81">
        <v>2016</v>
      </c>
      <c r="E1" s="81">
        <v>2017</v>
      </c>
      <c r="F1" s="81">
        <v>2018</v>
      </c>
      <c r="G1" s="81">
        <v>2019</v>
      </c>
      <c r="H1" s="81">
        <v>2020</v>
      </c>
      <c r="I1" s="81">
        <v>2021</v>
      </c>
      <c r="J1" s="110" t="s">
        <v>36</v>
      </c>
      <c r="K1" s="110" t="s">
        <v>37</v>
      </c>
    </row>
    <row r="2" spans="1:11" ht="15" x14ac:dyDescent="0.25">
      <c r="A2" s="81"/>
      <c r="B2" s="81" t="s">
        <v>127</v>
      </c>
      <c r="C2" s="82">
        <v>42370</v>
      </c>
      <c r="D2" s="82">
        <v>42461</v>
      </c>
      <c r="E2" s="82">
        <v>42736</v>
      </c>
      <c r="F2" s="82">
        <v>43101</v>
      </c>
      <c r="G2" s="82">
        <v>43466</v>
      </c>
      <c r="H2" s="105">
        <v>43922</v>
      </c>
      <c r="I2" s="105">
        <v>44197</v>
      </c>
      <c r="J2" s="105"/>
      <c r="K2" s="105"/>
    </row>
    <row r="3" spans="1:11" ht="15" x14ac:dyDescent="0.25">
      <c r="A3" s="81"/>
      <c r="B3" s="81" t="s">
        <v>128</v>
      </c>
      <c r="C3" s="82">
        <v>42460</v>
      </c>
      <c r="D3" s="82">
        <v>42735</v>
      </c>
      <c r="E3" s="82">
        <v>43100</v>
      </c>
      <c r="F3" s="82">
        <v>43465</v>
      </c>
      <c r="G3" s="82">
        <v>43921</v>
      </c>
      <c r="H3" s="105">
        <v>44196</v>
      </c>
      <c r="I3" s="184" t="s">
        <v>129</v>
      </c>
      <c r="J3" s="184"/>
      <c r="K3" s="184"/>
    </row>
    <row r="4" spans="1:11" ht="15" x14ac:dyDescent="0.25">
      <c r="A4" s="81" t="s">
        <v>75</v>
      </c>
      <c r="B4" s="81" t="s">
        <v>77</v>
      </c>
      <c r="C4" s="83">
        <v>9305</v>
      </c>
      <c r="D4" s="83">
        <v>10175</v>
      </c>
      <c r="E4" s="83">
        <v>10670</v>
      </c>
      <c r="F4" s="83">
        <v>10177</v>
      </c>
      <c r="G4" s="83">
        <v>10524</v>
      </c>
      <c r="H4" s="83">
        <v>10814</v>
      </c>
      <c r="I4" s="83">
        <v>11085</v>
      </c>
      <c r="J4" s="83">
        <v>10087</v>
      </c>
      <c r="K4" s="83">
        <v>5980</v>
      </c>
    </row>
    <row r="5" spans="1:11" ht="15" x14ac:dyDescent="0.25">
      <c r="A5" s="81" t="s">
        <v>75</v>
      </c>
      <c r="B5" s="81" t="s">
        <v>130</v>
      </c>
      <c r="C5" s="83">
        <v>1.0900000000000001</v>
      </c>
      <c r="D5" s="83">
        <v>1.17</v>
      </c>
      <c r="E5" s="83">
        <v>1.25</v>
      </c>
      <c r="F5" s="83">
        <v>1.2</v>
      </c>
      <c r="G5" s="83">
        <v>1.26</v>
      </c>
      <c r="H5" s="83">
        <v>1.1299999999999999</v>
      </c>
      <c r="I5" s="83">
        <v>1.22</v>
      </c>
      <c r="J5" s="83">
        <v>0</v>
      </c>
      <c r="K5" s="83"/>
    </row>
    <row r="6" spans="1:11" ht="15" x14ac:dyDescent="0.25">
      <c r="A6" s="81" t="s">
        <v>79</v>
      </c>
      <c r="B6" s="81" t="s">
        <v>58</v>
      </c>
      <c r="C6" s="83">
        <v>2162</v>
      </c>
      <c r="D6" s="83">
        <v>2333</v>
      </c>
      <c r="E6" s="83">
        <v>2356</v>
      </c>
      <c r="F6" s="83">
        <v>2281</v>
      </c>
      <c r="G6" s="83">
        <v>2359</v>
      </c>
      <c r="H6" s="83">
        <v>2799</v>
      </c>
      <c r="I6" s="83">
        <v>2893</v>
      </c>
      <c r="J6" s="83">
        <v>2668</v>
      </c>
      <c r="K6" s="83">
        <v>2055</v>
      </c>
    </row>
    <row r="7" spans="1:11" ht="15" x14ac:dyDescent="0.25">
      <c r="A7" s="81" t="s">
        <v>79</v>
      </c>
      <c r="B7" s="81" t="s">
        <v>131</v>
      </c>
      <c r="C7" s="83">
        <v>0.76</v>
      </c>
      <c r="D7" s="83">
        <v>0.81</v>
      </c>
      <c r="E7" s="83">
        <v>0.87</v>
      </c>
      <c r="F7" s="83">
        <v>0.84</v>
      </c>
      <c r="G7" s="83">
        <v>0.87</v>
      </c>
      <c r="H7" s="83">
        <v>0.86</v>
      </c>
      <c r="I7" s="83">
        <v>0.93</v>
      </c>
      <c r="J7" s="83">
        <f>1.17+1.01</f>
        <v>2.1799999999999997</v>
      </c>
      <c r="K7" s="83">
        <v>10.19</v>
      </c>
    </row>
    <row r="8" spans="1:11" ht="15" x14ac:dyDescent="0.25">
      <c r="A8" s="81" t="s">
        <v>132</v>
      </c>
      <c r="B8" s="81" t="s">
        <v>133</v>
      </c>
      <c r="C8" s="83">
        <v>7865</v>
      </c>
      <c r="D8" s="83">
        <v>8604</v>
      </c>
      <c r="E8" s="83">
        <v>8789</v>
      </c>
      <c r="F8" s="83">
        <v>8635</v>
      </c>
      <c r="G8" s="83">
        <v>9062</v>
      </c>
      <c r="H8" s="83">
        <v>14291</v>
      </c>
      <c r="I8" s="83">
        <v>14860</v>
      </c>
      <c r="J8" s="83">
        <v>11278</v>
      </c>
      <c r="K8" s="83">
        <v>11278</v>
      </c>
    </row>
    <row r="9" spans="1:11" ht="15" x14ac:dyDescent="0.25">
      <c r="A9" s="81" t="s">
        <v>132</v>
      </c>
      <c r="B9" s="81" t="s">
        <v>134</v>
      </c>
      <c r="C9" s="83">
        <v>3184</v>
      </c>
      <c r="D9" s="83">
        <v>3484</v>
      </c>
      <c r="E9" s="83">
        <v>3559</v>
      </c>
      <c r="F9" s="83">
        <v>3496</v>
      </c>
      <c r="G9" s="83">
        <v>3669</v>
      </c>
      <c r="H9" s="83">
        <v>4703</v>
      </c>
      <c r="I9" s="83">
        <v>4891</v>
      </c>
      <c r="J9" s="83">
        <v>4566</v>
      </c>
      <c r="K9" s="83">
        <v>4566</v>
      </c>
    </row>
    <row r="10" spans="1:11" ht="15" x14ac:dyDescent="0.25">
      <c r="A10" s="81" t="s">
        <v>132</v>
      </c>
      <c r="B10" s="81" t="s">
        <v>135</v>
      </c>
      <c r="C10" s="83">
        <v>1994</v>
      </c>
      <c r="D10" s="83">
        <v>2182</v>
      </c>
      <c r="E10" s="83">
        <v>2229</v>
      </c>
      <c r="F10" s="83">
        <v>2190</v>
      </c>
      <c r="G10" s="83">
        <v>2298</v>
      </c>
      <c r="H10" s="83">
        <v>2789</v>
      </c>
      <c r="I10" s="83">
        <v>2900</v>
      </c>
      <c r="J10" s="83">
        <v>2860</v>
      </c>
      <c r="K10" s="83">
        <v>2860</v>
      </c>
    </row>
    <row r="11" spans="1:11" ht="15" x14ac:dyDescent="0.25">
      <c r="A11" s="81" t="s">
        <v>132</v>
      </c>
      <c r="B11" s="81" t="s">
        <v>136</v>
      </c>
      <c r="C11" s="83">
        <v>1391</v>
      </c>
      <c r="D11" s="83">
        <v>1522</v>
      </c>
      <c r="E11" s="83">
        <v>1555</v>
      </c>
      <c r="F11" s="83">
        <v>1527</v>
      </c>
      <c r="G11" s="83">
        <v>1603</v>
      </c>
      <c r="H11" s="83">
        <v>1867</v>
      </c>
      <c r="I11" s="83">
        <v>1942</v>
      </c>
      <c r="J11" s="83">
        <v>1995</v>
      </c>
      <c r="K11" s="83">
        <v>1995</v>
      </c>
    </row>
    <row r="12" spans="1:11" ht="15" x14ac:dyDescent="0.25">
      <c r="A12" s="81" t="s">
        <v>132</v>
      </c>
      <c r="B12" s="81" t="s">
        <v>137</v>
      </c>
      <c r="C12" s="83">
        <v>901</v>
      </c>
      <c r="D12" s="83">
        <v>986</v>
      </c>
      <c r="E12" s="83">
        <v>1007</v>
      </c>
      <c r="F12" s="83">
        <v>989</v>
      </c>
      <c r="G12" s="83">
        <v>1038</v>
      </c>
      <c r="H12" s="83">
        <v>1150</v>
      </c>
      <c r="I12" s="83">
        <v>1195</v>
      </c>
      <c r="J12" s="83">
        <v>1292</v>
      </c>
      <c r="K12" s="83">
        <v>1292</v>
      </c>
    </row>
    <row r="13" spans="1:11" ht="15" x14ac:dyDescent="0.25">
      <c r="A13" s="81" t="s">
        <v>138</v>
      </c>
      <c r="B13" s="81" t="s">
        <v>133</v>
      </c>
      <c r="C13" s="83">
        <v>-6213</v>
      </c>
      <c r="D13" s="83">
        <v>-6797</v>
      </c>
      <c r="E13" s="83">
        <v>-6943</v>
      </c>
      <c r="F13" s="83">
        <v>-6822</v>
      </c>
      <c r="G13" s="83">
        <v>-7159</v>
      </c>
      <c r="H13" s="83">
        <v>-11290</v>
      </c>
      <c r="I13" s="83">
        <v>-11739</v>
      </c>
      <c r="J13" s="83">
        <v>-8910</v>
      </c>
      <c r="K13" s="83">
        <v>-8910</v>
      </c>
    </row>
    <row r="14" spans="1:11" ht="15" x14ac:dyDescent="0.25">
      <c r="A14" s="81" t="s">
        <v>138</v>
      </c>
      <c r="B14" s="81" t="s">
        <v>134</v>
      </c>
      <c r="C14" s="83">
        <v>-2515</v>
      </c>
      <c r="D14" s="83">
        <v>-2752</v>
      </c>
      <c r="E14" s="83">
        <v>-2812</v>
      </c>
      <c r="F14" s="83">
        <v>-2762</v>
      </c>
      <c r="G14" s="83">
        <v>-2899</v>
      </c>
      <c r="H14" s="83">
        <v>-3715</v>
      </c>
      <c r="I14" s="83">
        <v>-3864</v>
      </c>
      <c r="J14" s="83">
        <v>-3607</v>
      </c>
      <c r="K14" s="83">
        <v>-3607</v>
      </c>
    </row>
    <row r="15" spans="1:11" ht="15" x14ac:dyDescent="0.25">
      <c r="A15" s="81" t="s">
        <v>138</v>
      </c>
      <c r="B15" s="81" t="s">
        <v>135</v>
      </c>
      <c r="C15" s="83">
        <v>-1575</v>
      </c>
      <c r="D15" s="83">
        <v>-1724</v>
      </c>
      <c r="E15" s="83">
        <v>-1761</v>
      </c>
      <c r="F15" s="83">
        <v>-1730</v>
      </c>
      <c r="G15" s="83">
        <v>-1815</v>
      </c>
      <c r="H15" s="83">
        <v>-2203</v>
      </c>
      <c r="I15" s="83">
        <v>-2291</v>
      </c>
      <c r="J15" s="83">
        <v>-2259</v>
      </c>
      <c r="K15" s="83">
        <v>-2259</v>
      </c>
    </row>
    <row r="16" spans="1:11" ht="15" x14ac:dyDescent="0.25">
      <c r="A16" s="81" t="s">
        <v>138</v>
      </c>
      <c r="B16" s="81" t="s">
        <v>136</v>
      </c>
      <c r="C16" s="83">
        <v>-1099</v>
      </c>
      <c r="D16" s="83">
        <v>-1202</v>
      </c>
      <c r="E16" s="83">
        <v>-1228</v>
      </c>
      <c r="F16" s="83">
        <v>-1206</v>
      </c>
      <c r="G16" s="83">
        <v>-1266</v>
      </c>
      <c r="H16" s="83">
        <v>-1475</v>
      </c>
      <c r="I16" s="83">
        <v>-1534</v>
      </c>
      <c r="J16" s="83">
        <v>-1576</v>
      </c>
      <c r="K16" s="83">
        <v>-1576</v>
      </c>
    </row>
    <row r="17" spans="1:11" ht="15" x14ac:dyDescent="0.25">
      <c r="A17" s="81" t="s">
        <v>138</v>
      </c>
      <c r="B17" s="81" t="s">
        <v>137</v>
      </c>
      <c r="C17" s="83">
        <v>-901</v>
      </c>
      <c r="D17" s="83">
        <v>-986</v>
      </c>
      <c r="E17" s="83">
        <v>-1007</v>
      </c>
      <c r="F17" s="83">
        <v>-989</v>
      </c>
      <c r="G17" s="83">
        <v>-1038</v>
      </c>
      <c r="H17" s="83">
        <v>-1150</v>
      </c>
      <c r="I17" s="83">
        <v>-1195</v>
      </c>
      <c r="J17" s="83">
        <v>-1292</v>
      </c>
      <c r="K17" s="83">
        <v>-1292</v>
      </c>
    </row>
    <row r="18" spans="1:11" ht="15" x14ac:dyDescent="0.25">
      <c r="A18" s="81" t="s">
        <v>139</v>
      </c>
      <c r="B18" s="256" t="s">
        <v>190</v>
      </c>
      <c r="C18" s="255">
        <v>33.340000000000003</v>
      </c>
      <c r="D18" s="255">
        <v>18.28</v>
      </c>
      <c r="E18" s="255">
        <v>22.19</v>
      </c>
      <c r="F18" s="255">
        <v>50.35</v>
      </c>
      <c r="G18" s="255">
        <v>54.88</v>
      </c>
      <c r="H18" s="255">
        <v>46.72</v>
      </c>
      <c r="I18" s="255">
        <v>53.93</v>
      </c>
      <c r="J18" s="255">
        <v>54.88</v>
      </c>
      <c r="K18" s="255">
        <v>54.88</v>
      </c>
    </row>
    <row r="19" spans="1:11" ht="15" x14ac:dyDescent="0.25">
      <c r="A19" s="81" t="s">
        <v>139</v>
      </c>
      <c r="B19" s="81" t="s">
        <v>140</v>
      </c>
      <c r="C19" s="84">
        <v>6.4100000000000004E-2</v>
      </c>
      <c r="D19" s="85">
        <v>6.6600000000000006E-2</v>
      </c>
      <c r="E19" s="85">
        <v>6.9900000000000004E-2</v>
      </c>
      <c r="F19" s="85">
        <v>6.4399999999999999E-2</v>
      </c>
      <c r="G19" s="85">
        <v>8.5000000000000006E-2</v>
      </c>
      <c r="H19" s="85">
        <v>7.1300000000000002E-2</v>
      </c>
      <c r="I19" s="85">
        <v>6.1899999999999997E-2</v>
      </c>
      <c r="J19" s="85">
        <v>9.3299999999999994E-2</v>
      </c>
      <c r="K19" s="85">
        <v>9.3299999999999994E-2</v>
      </c>
    </row>
    <row r="20" spans="1:11" ht="15" x14ac:dyDescent="0.25">
      <c r="A20" s="81" t="s">
        <v>141</v>
      </c>
      <c r="B20" s="81" t="s">
        <v>55</v>
      </c>
      <c r="C20" s="83">
        <v>0</v>
      </c>
      <c r="D20" s="83">
        <v>0.06</v>
      </c>
      <c r="E20" s="83">
        <v>7.0000000000000007E-2</v>
      </c>
      <c r="F20" s="86">
        <v>2E-3</v>
      </c>
      <c r="G20" s="86">
        <v>2E-3</v>
      </c>
      <c r="H20" s="86">
        <v>2E-3</v>
      </c>
      <c r="I20" s="86">
        <v>2E-3</v>
      </c>
      <c r="J20" s="86">
        <v>2E-3</v>
      </c>
      <c r="K20" s="86">
        <v>2E-3</v>
      </c>
    </row>
    <row r="21" spans="1:11" ht="15" x14ac:dyDescent="0.25">
      <c r="A21" s="81" t="s">
        <v>101</v>
      </c>
      <c r="B21" s="81" t="s">
        <v>55</v>
      </c>
      <c r="C21" s="83">
        <v>0.05</v>
      </c>
      <c r="D21" s="83">
        <v>0.06</v>
      </c>
      <c r="E21" s="83">
        <v>7.0000000000000007E-2</v>
      </c>
      <c r="F21" s="83">
        <v>0.09</v>
      </c>
      <c r="G21" s="83">
        <v>0.05</v>
      </c>
      <c r="H21" s="83">
        <v>0.05</v>
      </c>
      <c r="I21" s="83">
        <v>0.01</v>
      </c>
      <c r="J21" s="83">
        <v>0.06</v>
      </c>
      <c r="K21" s="83">
        <v>0.06</v>
      </c>
    </row>
    <row r="22" spans="1:11" ht="15" x14ac:dyDescent="0.25">
      <c r="A22" s="81" t="s">
        <v>103</v>
      </c>
      <c r="B22" s="81" t="s">
        <v>48</v>
      </c>
      <c r="C22" s="83">
        <v>41</v>
      </c>
      <c r="D22" s="83">
        <v>46</v>
      </c>
      <c r="E22" s="83">
        <v>46</v>
      </c>
      <c r="F22" s="83">
        <v>46</v>
      </c>
      <c r="G22" s="83">
        <v>36</v>
      </c>
      <c r="H22" s="83">
        <v>24</v>
      </c>
      <c r="I22" s="83">
        <v>25</v>
      </c>
      <c r="J22" s="83">
        <v>38</v>
      </c>
      <c r="K22" s="83">
        <v>38</v>
      </c>
    </row>
    <row r="23" spans="1:11" ht="15" x14ac:dyDescent="0.25">
      <c r="A23" s="81" t="s">
        <v>103</v>
      </c>
      <c r="B23" t="s">
        <v>142</v>
      </c>
      <c r="C23" s="83">
        <v>149</v>
      </c>
      <c r="D23" s="83">
        <v>122</v>
      </c>
      <c r="E23" s="83">
        <v>95</v>
      </c>
      <c r="F23" s="83">
        <v>75</v>
      </c>
      <c r="G23" s="83">
        <v>45</v>
      </c>
      <c r="H23" s="83">
        <v>15</v>
      </c>
      <c r="I23" s="83">
        <v>0</v>
      </c>
      <c r="J23" s="83">
        <v>45</v>
      </c>
      <c r="K23" s="83">
        <v>45</v>
      </c>
    </row>
    <row r="24" spans="1:11" ht="15" x14ac:dyDescent="0.25">
      <c r="A24" s="81" t="s">
        <v>103</v>
      </c>
      <c r="B24" s="81" t="s">
        <v>143</v>
      </c>
      <c r="C24" s="83">
        <v>400</v>
      </c>
      <c r="D24" s="83">
        <v>400</v>
      </c>
      <c r="E24" s="83">
        <v>400</v>
      </c>
      <c r="F24" s="83">
        <v>400</v>
      </c>
      <c r="G24" s="83">
        <v>400</v>
      </c>
      <c r="H24" s="83">
        <v>400</v>
      </c>
      <c r="I24" s="83">
        <v>400</v>
      </c>
      <c r="J24" s="83">
        <v>400</v>
      </c>
      <c r="K24" s="83">
        <v>400</v>
      </c>
    </row>
    <row r="25" spans="1:11" ht="15" x14ac:dyDescent="0.25">
      <c r="A25" s="81" t="s">
        <v>144</v>
      </c>
      <c r="B25" s="81" t="s">
        <v>144</v>
      </c>
      <c r="C25" s="83">
        <v>-3.25</v>
      </c>
      <c r="D25" s="83">
        <v>-3.25</v>
      </c>
      <c r="E25" s="83">
        <v>1.1000000000000001</v>
      </c>
      <c r="F25" s="83">
        <v>3.1</v>
      </c>
      <c r="G25" s="83">
        <v>2.9</v>
      </c>
      <c r="H25" s="83">
        <v>2.5</v>
      </c>
      <c r="I25" s="83">
        <v>2.2999999999999998</v>
      </c>
      <c r="J25" s="83">
        <v>2.9</v>
      </c>
      <c r="K25" s="83">
        <v>2.9</v>
      </c>
    </row>
    <row r="28" spans="1:11" ht="13.5" thickBot="1" x14ac:dyDescent="0.25"/>
    <row r="29" spans="1:11" x14ac:dyDescent="0.2">
      <c r="B29" s="177" t="s">
        <v>115</v>
      </c>
      <c r="C29" s="178" t="s">
        <v>145</v>
      </c>
    </row>
    <row r="30" spans="1:11" x14ac:dyDescent="0.2">
      <c r="B30" s="179">
        <v>2020</v>
      </c>
      <c r="C30" s="180">
        <v>8784</v>
      </c>
    </row>
    <row r="31" spans="1:11" x14ac:dyDescent="0.2">
      <c r="B31" s="179">
        <v>2019</v>
      </c>
      <c r="C31" s="180">
        <v>8760</v>
      </c>
    </row>
    <row r="32" spans="1:11" x14ac:dyDescent="0.2">
      <c r="B32" s="179">
        <v>2018</v>
      </c>
      <c r="C32" s="180">
        <v>8760</v>
      </c>
    </row>
    <row r="33" spans="2:3" x14ac:dyDescent="0.2">
      <c r="B33" s="179">
        <v>2017</v>
      </c>
      <c r="C33" s="180">
        <v>8760</v>
      </c>
    </row>
    <row r="34" spans="2:3" ht="13.5" thickBot="1" x14ac:dyDescent="0.25">
      <c r="B34" s="181">
        <v>2016</v>
      </c>
      <c r="C34" s="182">
        <v>8784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923D9-4CA6-4ADC-86F9-D281B8418496}">
  <sheetPr>
    <pageSetUpPr fitToPage="1"/>
  </sheetPr>
  <dimension ref="A1:V37"/>
  <sheetViews>
    <sheetView showGridLines="0" topLeftCell="A22" zoomScaleNormal="100" workbookViewId="0">
      <selection activeCell="B1" sqref="B1"/>
    </sheetView>
  </sheetViews>
  <sheetFormatPr defaultColWidth="9.5703125" defaultRowHeight="12.75" x14ac:dyDescent="0.2"/>
  <cols>
    <col min="1" max="1" width="7.42578125" customWidth="1"/>
    <col min="2" max="2" width="19" customWidth="1"/>
    <col min="3" max="3" width="18.28515625" customWidth="1"/>
    <col min="4" max="13" width="13.7109375" customWidth="1"/>
    <col min="14" max="15" width="10.42578125" customWidth="1"/>
    <col min="16" max="16" width="15.7109375" customWidth="1"/>
    <col min="18" max="18" width="10.5703125" customWidth="1"/>
    <col min="19" max="19" width="15.28515625" customWidth="1"/>
    <col min="20" max="21" width="10.42578125" customWidth="1"/>
    <col min="22" max="22" width="15.140625" customWidth="1"/>
  </cols>
  <sheetData>
    <row r="1" spans="1:22" x14ac:dyDescent="0.2">
      <c r="A1" s="41" t="s">
        <v>20</v>
      </c>
      <c r="C1" s="109" t="str">
        <f>ParticipantName</f>
        <v>DFO</v>
      </c>
      <c r="D1" s="109"/>
    </row>
    <row r="2" spans="1:22" x14ac:dyDescent="0.2">
      <c r="A2" s="41" t="s">
        <v>21</v>
      </c>
      <c r="C2" s="109" t="str">
        <f>SiteDescription</f>
        <v>Sample Site</v>
      </c>
      <c r="D2" s="109"/>
    </row>
    <row r="3" spans="1:22" x14ac:dyDescent="0.2">
      <c r="A3" s="41" t="s">
        <v>22</v>
      </c>
      <c r="C3" s="109" t="str">
        <f>AccountID</f>
        <v>1000XXXXX</v>
      </c>
      <c r="D3" s="109"/>
    </row>
    <row r="4" spans="1:22" x14ac:dyDescent="0.2">
      <c r="A4" t="s">
        <v>23</v>
      </c>
      <c r="C4" s="126">
        <f ca="1">TODAY()</f>
        <v>44292</v>
      </c>
      <c r="D4" s="126"/>
    </row>
    <row r="5" spans="1:22" ht="13.5" thickBot="1" x14ac:dyDescent="0.25"/>
    <row r="6" spans="1:22" x14ac:dyDescent="0.2">
      <c r="A6" s="231" t="s">
        <v>161</v>
      </c>
      <c r="B6" s="232"/>
      <c r="C6" s="233"/>
    </row>
    <row r="7" spans="1:22" ht="12.75" customHeight="1" x14ac:dyDescent="0.2">
      <c r="A7" s="234" t="s">
        <v>160</v>
      </c>
      <c r="B7" s="235"/>
      <c r="C7" s="236" t="str">
        <f>IF(L23&gt;=10%,"Yes","No")</f>
        <v>No</v>
      </c>
    </row>
    <row r="8" spans="1:22" s="4" customFormat="1" ht="12.75" customHeight="1" thickBot="1" x14ac:dyDescent="0.25">
      <c r="A8" s="237" t="s">
        <v>159</v>
      </c>
      <c r="B8" s="238"/>
      <c r="C8" s="239" t="str">
        <f>IF(AVERAGE(L21:L24)&gt;=10%,"Yes","No")</f>
        <v>No</v>
      </c>
      <c r="O8"/>
      <c r="P8"/>
      <c r="Q8"/>
      <c r="R8"/>
      <c r="S8"/>
      <c r="T8"/>
      <c r="U8"/>
      <c r="V8"/>
    </row>
    <row r="9" spans="1:22" x14ac:dyDescent="0.2">
      <c r="A9" s="187" t="s">
        <v>163</v>
      </c>
      <c r="E9" s="109"/>
      <c r="F9" s="109"/>
      <c r="G9" s="109"/>
      <c r="H9" s="109"/>
      <c r="I9" s="109"/>
      <c r="J9" s="109"/>
      <c r="K9" s="109"/>
      <c r="L9" s="109"/>
      <c r="M9" s="109"/>
      <c r="N9" s="109"/>
    </row>
    <row r="10" spans="1:22" x14ac:dyDescent="0.2">
      <c r="A10" s="187" t="s">
        <v>164</v>
      </c>
      <c r="E10" s="109"/>
      <c r="F10" s="109"/>
      <c r="G10" s="109"/>
      <c r="H10" s="109"/>
      <c r="I10" s="109"/>
      <c r="J10" s="109"/>
      <c r="K10" s="109"/>
      <c r="L10" s="109"/>
      <c r="M10" s="109"/>
      <c r="N10" s="109"/>
    </row>
    <row r="11" spans="1:22" x14ac:dyDescent="0.2">
      <c r="E11" s="109"/>
      <c r="F11" s="109"/>
      <c r="G11" s="109"/>
      <c r="H11" s="109"/>
      <c r="I11" s="109"/>
      <c r="J11" s="109"/>
      <c r="K11" s="109"/>
      <c r="L11" s="109"/>
      <c r="M11" s="109"/>
      <c r="N11" s="109"/>
    </row>
    <row r="12" spans="1:22" x14ac:dyDescent="0.2">
      <c r="E12" s="126"/>
      <c r="F12" s="126"/>
      <c r="G12" s="126"/>
      <c r="H12" s="126"/>
      <c r="I12" s="126"/>
      <c r="J12" s="126"/>
      <c r="K12" s="126"/>
      <c r="L12" s="41"/>
      <c r="M12" s="34"/>
      <c r="N12" s="35"/>
      <c r="O12" s="36"/>
      <c r="P12" s="107"/>
      <c r="R12" s="41"/>
      <c r="S12" s="34"/>
      <c r="T12" s="35"/>
      <c r="U12" s="36"/>
      <c r="V12" s="107"/>
    </row>
    <row r="13" spans="1:22" x14ac:dyDescent="0.2">
      <c r="C13" s="126"/>
      <c r="D13" s="126"/>
      <c r="E13" s="126"/>
      <c r="F13" s="126"/>
      <c r="G13" s="126"/>
      <c r="H13" s="126"/>
      <c r="I13" s="126"/>
      <c r="J13" s="126"/>
      <c r="K13" s="126"/>
      <c r="L13" s="41"/>
      <c r="M13" s="34"/>
      <c r="N13" s="35"/>
      <c r="O13" s="36"/>
      <c r="P13" s="107"/>
      <c r="R13" s="41"/>
      <c r="S13" s="34"/>
      <c r="T13" s="35"/>
      <c r="U13" s="36"/>
      <c r="V13" s="107"/>
    </row>
    <row r="14" spans="1:22" x14ac:dyDescent="0.2">
      <c r="C14" s="126"/>
      <c r="D14" s="126"/>
      <c r="E14" s="126"/>
      <c r="F14" s="126"/>
      <c r="G14" s="126"/>
      <c r="H14" s="126"/>
      <c r="I14" s="126"/>
      <c r="J14" s="126"/>
      <c r="K14" s="126"/>
      <c r="L14" s="41"/>
      <c r="M14" s="34"/>
      <c r="N14" s="35"/>
      <c r="O14" s="36"/>
      <c r="P14" s="107"/>
      <c r="R14" s="41"/>
      <c r="S14" s="34"/>
      <c r="T14" s="35"/>
      <c r="U14" s="36"/>
      <c r="V14" s="107"/>
    </row>
    <row r="18" spans="1:22" s="3" customFormat="1" ht="25.35" customHeight="1" x14ac:dyDescent="0.4">
      <c r="A18" s="248" t="s">
        <v>24</v>
      </c>
      <c r="B18" s="249"/>
      <c r="C18" s="250"/>
      <c r="D18" s="250"/>
      <c r="E18" s="250"/>
      <c r="F18" s="250"/>
      <c r="G18" s="250"/>
      <c r="H18" s="250"/>
      <c r="I18" s="249"/>
      <c r="J18" s="249"/>
      <c r="K18" s="249"/>
      <c r="L18" s="249"/>
      <c r="M18" s="108"/>
      <c r="N18" s="108"/>
      <c r="O18" s="108"/>
      <c r="P18" s="108"/>
      <c r="V18" s="107"/>
    </row>
    <row r="19" spans="1:22" ht="51" x14ac:dyDescent="0.2">
      <c r="A19" s="143" t="s">
        <v>25</v>
      </c>
      <c r="B19" s="19"/>
      <c r="C19" s="140" t="s">
        <v>26</v>
      </c>
      <c r="D19" s="140" t="s">
        <v>27</v>
      </c>
      <c r="E19" s="140" t="s">
        <v>28</v>
      </c>
      <c r="F19" s="141" t="s">
        <v>29</v>
      </c>
      <c r="G19" s="140" t="s">
        <v>30</v>
      </c>
      <c r="H19" s="141" t="s">
        <v>31</v>
      </c>
      <c r="I19" s="141" t="s">
        <v>181</v>
      </c>
      <c r="J19" s="141" t="s">
        <v>182</v>
      </c>
      <c r="K19" s="141" t="s">
        <v>183</v>
      </c>
      <c r="L19" s="141" t="s">
        <v>184</v>
      </c>
      <c r="M19" s="34"/>
      <c r="N19" s="35"/>
      <c r="O19" s="36"/>
      <c r="P19" s="107"/>
      <c r="R19" s="41"/>
      <c r="S19" s="34"/>
      <c r="T19" s="35"/>
      <c r="U19" s="36"/>
      <c r="V19" s="107"/>
    </row>
    <row r="20" spans="1:22" x14ac:dyDescent="0.2">
      <c r="A20">
        <v>2016</v>
      </c>
      <c r="C20" s="251">
        <f>'Year 2016'!$H$16</f>
        <v>43.4</v>
      </c>
      <c r="D20" s="130">
        <f>'Year 2016'!$H$18</f>
        <v>468.72</v>
      </c>
      <c r="E20" s="130">
        <f>'Year 2016'!$H$15</f>
        <v>299.69447043256997</v>
      </c>
      <c r="F20" s="128">
        <f>'Year 2016'!$F$15</f>
        <v>0.83700134878878585</v>
      </c>
      <c r="G20" s="130">
        <f>'Year 2016'!$H$17</f>
        <v>237024.77118571504</v>
      </c>
      <c r="H20" s="128">
        <f>'Year 2016'!$F$17</f>
        <v>0.9043365478895059</v>
      </c>
      <c r="I20" s="127">
        <f>'Year 2016'!$J$60</f>
        <v>6635891.4488951666</v>
      </c>
      <c r="J20" s="127">
        <f>'Year 2016'!$P$60</f>
        <v>7016289.3774727499</v>
      </c>
      <c r="K20" s="127">
        <f>J20-I20</f>
        <v>380397.92857758328</v>
      </c>
      <c r="L20" s="129">
        <f>K20/I20</f>
        <v>5.7324314526108935E-2</v>
      </c>
      <c r="M20" s="34"/>
      <c r="N20" s="35"/>
      <c r="O20" s="36"/>
      <c r="P20" s="107"/>
      <c r="R20" s="41"/>
      <c r="S20" s="34"/>
      <c r="T20" s="35"/>
      <c r="U20" s="36"/>
      <c r="V20" s="107"/>
    </row>
    <row r="21" spans="1:22" x14ac:dyDescent="0.2">
      <c r="A21">
        <v>2017</v>
      </c>
      <c r="C21" s="251">
        <f>'Year 2017'!$H$16</f>
        <v>43.4</v>
      </c>
      <c r="D21" s="130">
        <f>'Year 2017'!$H$18</f>
        <v>468.72</v>
      </c>
      <c r="E21" s="130">
        <f>'Year 2017'!$H$15</f>
        <v>315.48437107379135</v>
      </c>
      <c r="F21" s="128">
        <f>'Year 2017'!$F$15</f>
        <v>0.79489797350488389</v>
      </c>
      <c r="G21" s="130">
        <f>'Year 2017'!$H$17</f>
        <v>261944.01891174557</v>
      </c>
      <c r="H21" s="128">
        <f>'Year 2017'!$F$17</f>
        <v>0.90410561557273939</v>
      </c>
      <c r="I21" s="127">
        <f>'Year 2017'!$J$60</f>
        <v>6965784.7330352273</v>
      </c>
      <c r="J21" s="127">
        <f>'Year 2017'!$P$60</f>
        <v>7480936.7329566134</v>
      </c>
      <c r="K21" s="127">
        <f t="shared" ref="K21:K25" si="0">J21-I21</f>
        <v>515151.99992138613</v>
      </c>
      <c r="L21" s="129">
        <f t="shared" ref="L21:L24" si="1">K21/I21</f>
        <v>7.3954625309949396E-2</v>
      </c>
      <c r="M21" s="34"/>
      <c r="N21" s="35"/>
      <c r="O21" s="36"/>
      <c r="P21" s="107"/>
      <c r="R21" s="41"/>
      <c r="S21" s="34"/>
      <c r="T21" s="35"/>
      <c r="U21" s="36"/>
      <c r="V21" s="107"/>
    </row>
    <row r="22" spans="1:22" x14ac:dyDescent="0.2">
      <c r="A22">
        <v>2018</v>
      </c>
      <c r="C22" s="251">
        <f>'Year 2018'!$H$16</f>
        <v>43.4</v>
      </c>
      <c r="D22" s="130">
        <f>'Year 2018'!$H$18</f>
        <v>468.72</v>
      </c>
      <c r="E22" s="130">
        <f>'Year 2018'!$H$15</f>
        <v>321.45068061068702</v>
      </c>
      <c r="F22" s="128">
        <f>'Year 2018'!$F$15</f>
        <v>0.82388851513473371</v>
      </c>
      <c r="G22" s="130">
        <f>'Year 2018'!$H$17</f>
        <v>251907.24302190845</v>
      </c>
      <c r="H22" s="128">
        <f>'Year 2018'!$F$17</f>
        <v>0.88444716458659822</v>
      </c>
      <c r="I22" s="127">
        <f>'Year 2018'!$J$60</f>
        <v>7674997.0719891433</v>
      </c>
      <c r="J22" s="127">
        <f>'Year 2018'!$P$60</f>
        <v>8085250.8470047414</v>
      </c>
      <c r="K22" s="127">
        <f t="shared" si="0"/>
        <v>410253.77501559816</v>
      </c>
      <c r="L22" s="129">
        <f t="shared" si="1"/>
        <v>5.34532809807668E-2</v>
      </c>
      <c r="M22" s="34"/>
      <c r="N22" s="35"/>
      <c r="O22" s="36"/>
      <c r="P22" s="107"/>
      <c r="R22" s="41"/>
      <c r="S22" s="34"/>
      <c r="T22" s="35"/>
      <c r="U22" s="36"/>
      <c r="V22" s="107"/>
    </row>
    <row r="23" spans="1:22" x14ac:dyDescent="0.2">
      <c r="A23">
        <v>2019</v>
      </c>
      <c r="C23" s="251">
        <f>'Year 2019'!$H$16</f>
        <v>43.4</v>
      </c>
      <c r="D23" s="130">
        <f>'Year 2019'!$H$18</f>
        <v>468.72</v>
      </c>
      <c r="E23" s="130">
        <f>'Year 2019'!$H$15</f>
        <v>246.99782821374046</v>
      </c>
      <c r="F23" s="128">
        <f>'Year 2019'!$F$15</f>
        <v>0.73277894902985929</v>
      </c>
      <c r="G23" s="130">
        <f>'Year 2019'!$H$17</f>
        <v>207359.75078765914</v>
      </c>
      <c r="H23" s="128">
        <f>'Year 2019'!$F$17</f>
        <v>0.84271641228561678</v>
      </c>
      <c r="I23" s="127">
        <f>'Year 2019'!$J$60</f>
        <v>6353886.6159028998</v>
      </c>
      <c r="J23" s="127">
        <f>'Year 2019'!$P$60</f>
        <v>6713092.8434453635</v>
      </c>
      <c r="K23" s="127">
        <f t="shared" si="0"/>
        <v>359206.22754246369</v>
      </c>
      <c r="L23" s="129">
        <f t="shared" si="1"/>
        <v>5.6533307762121558E-2</v>
      </c>
      <c r="M23" s="188"/>
      <c r="N23" s="35"/>
      <c r="O23" s="36"/>
      <c r="P23" s="107"/>
      <c r="R23" s="41"/>
      <c r="S23" s="34"/>
      <c r="T23" s="35"/>
      <c r="U23" s="36"/>
      <c r="V23" s="107"/>
    </row>
    <row r="24" spans="1:22" x14ac:dyDescent="0.2">
      <c r="A24">
        <v>2020</v>
      </c>
      <c r="C24" s="251">
        <f>'Year 2020'!$H$16</f>
        <v>43.4</v>
      </c>
      <c r="D24" s="130">
        <f>'Year 2020'!$H$18</f>
        <v>468.72</v>
      </c>
      <c r="E24" s="130">
        <f>'Year 2020'!$H$15</f>
        <v>214.29862939440204</v>
      </c>
      <c r="F24" s="128">
        <f>'Year 2020'!$F$15</f>
        <v>0.67909332900849895</v>
      </c>
      <c r="G24" s="130">
        <f>'Year 2020'!$H$17</f>
        <v>199592.55938932311</v>
      </c>
      <c r="H24" s="128">
        <f>'Year 2020'!$F$17</f>
        <v>0.86405887829521699</v>
      </c>
      <c r="I24" s="127">
        <f>'Year 2020'!$J$60</f>
        <v>5883626.0232382724</v>
      </c>
      <c r="J24" s="127">
        <f>'Year 2020'!$P$60</f>
        <v>6314912.5930239409</v>
      </c>
      <c r="K24" s="127">
        <f t="shared" si="0"/>
        <v>431286.56978566851</v>
      </c>
      <c r="L24" s="129">
        <f t="shared" si="1"/>
        <v>7.3302852370670205E-2</v>
      </c>
      <c r="M24" s="34"/>
      <c r="N24" s="35"/>
      <c r="O24" s="36"/>
      <c r="P24" s="107"/>
      <c r="R24" s="41"/>
      <c r="S24" s="34"/>
      <c r="T24" s="35"/>
      <c r="U24" s="36"/>
      <c r="V24" s="107"/>
    </row>
    <row r="25" spans="1:22" ht="13.5" thickBot="1" x14ac:dyDescent="0.25">
      <c r="A25" s="241" t="s">
        <v>162</v>
      </c>
      <c r="B25" s="242"/>
      <c r="C25" s="252"/>
      <c r="D25" s="243"/>
      <c r="E25" s="243"/>
      <c r="F25" s="243"/>
      <c r="G25" s="243"/>
      <c r="H25" s="243"/>
      <c r="I25" s="244">
        <f>AVERAGE(I21:I24)</f>
        <v>6719573.6110413857</v>
      </c>
      <c r="J25" s="244">
        <f>AVERAGE(J21:J24)</f>
        <v>7148548.2541076653</v>
      </c>
      <c r="K25" s="244">
        <f t="shared" si="0"/>
        <v>428974.64306627959</v>
      </c>
      <c r="L25" s="245">
        <f>K25/I25</f>
        <v>6.3839563028434174E-2</v>
      </c>
      <c r="M25" s="240"/>
      <c r="N25" s="35"/>
      <c r="O25" s="36"/>
      <c r="P25" s="107"/>
      <c r="R25" s="41"/>
      <c r="S25" s="34"/>
      <c r="T25" s="35"/>
      <c r="U25" s="36"/>
      <c r="V25" s="107"/>
    </row>
    <row r="26" spans="1:22" ht="13.5" thickTop="1" x14ac:dyDescent="0.2">
      <c r="A26" s="161" t="str">
        <f>"Adjusted Load Profile - "&amp;'Adjust Load Profile'!$P$7</f>
        <v>Adjusted Load Profile - 2019</v>
      </c>
      <c r="B26" s="161"/>
      <c r="C26" s="253">
        <f>'Adjust Load Profile'!$N$16</f>
        <v>43.4</v>
      </c>
      <c r="D26" s="162">
        <f>'Adjust Load Profile'!$N$18</f>
        <v>468.71999999999997</v>
      </c>
      <c r="E26" s="162">
        <f>'Adjust Load Profile'!$N$15</f>
        <v>246.99782821374046</v>
      </c>
      <c r="F26" s="163">
        <f>'Adjust Load Profile'!$L$15</f>
        <v>0.73277894902985929</v>
      </c>
      <c r="G26" s="162">
        <f>'Adjust Load Profile'!$N$17</f>
        <v>207359.75078765914</v>
      </c>
      <c r="H26" s="163">
        <f>'Adjust Load Profile'!$N$17/('Adjust Load Profile'!$N$14/12*VLOOKUP('Adjust Load Profile'!$P$7,Year_hours,2,FALSE))</f>
        <v>0.84271641228561678</v>
      </c>
      <c r="I26" s="164">
        <f>'Adjust Load Profile'!$J$60</f>
        <v>6353886.6159028998</v>
      </c>
      <c r="J26" s="164">
        <f>'Adjust Load Profile'!$P$60</f>
        <v>6713092.7792382156</v>
      </c>
      <c r="K26" s="164">
        <f>J26-I26</f>
        <v>359206.16333531588</v>
      </c>
      <c r="L26" s="165">
        <f>K26/I26</f>
        <v>5.6533297656944731E-2</v>
      </c>
      <c r="M26" s="34"/>
      <c r="N26" s="35"/>
      <c r="O26" s="36"/>
      <c r="P26" s="157"/>
      <c r="S26" s="34"/>
      <c r="T26" s="35"/>
      <c r="U26" s="36"/>
      <c r="V26" s="157"/>
    </row>
    <row r="27" spans="1:22" x14ac:dyDescent="0.2">
      <c r="C27" s="132"/>
      <c r="D27" s="132"/>
      <c r="E27" s="132"/>
      <c r="F27" s="132"/>
      <c r="G27" s="132"/>
      <c r="H27" s="132"/>
      <c r="I27" s="126"/>
      <c r="J27" s="126"/>
      <c r="K27" s="126"/>
      <c r="L27" s="41"/>
      <c r="M27" s="34"/>
      <c r="N27" s="35"/>
      <c r="O27" s="36"/>
      <c r="P27" s="107"/>
      <c r="R27" s="41"/>
      <c r="S27" s="34"/>
      <c r="T27" s="35"/>
      <c r="U27" s="36"/>
      <c r="V27" s="107"/>
    </row>
    <row r="28" spans="1:22" s="3" customFormat="1" ht="25.35" customHeight="1" x14ac:dyDescent="0.4">
      <c r="A28" s="246" t="s">
        <v>32</v>
      </c>
      <c r="B28" s="247"/>
      <c r="C28" s="247"/>
      <c r="D28" s="247"/>
      <c r="E28" s="247"/>
      <c r="F28" s="247"/>
      <c r="G28" s="247"/>
      <c r="H28" s="247"/>
      <c r="I28" s="247"/>
      <c r="J28" s="247"/>
      <c r="K28" s="247"/>
      <c r="L28" s="247"/>
      <c r="M28" s="108"/>
      <c r="N28" s="108"/>
      <c r="O28" s="108"/>
      <c r="P28" s="108"/>
      <c r="V28" s="107"/>
    </row>
    <row r="29" spans="1:22" s="133" customFormat="1" ht="51" x14ac:dyDescent="0.2">
      <c r="A29" s="143" t="s">
        <v>25</v>
      </c>
      <c r="B29" s="139"/>
      <c r="C29" s="140"/>
      <c r="D29" s="140"/>
      <c r="E29" s="140"/>
      <c r="F29" s="141"/>
      <c r="G29" s="140"/>
      <c r="H29" s="141"/>
      <c r="I29" s="141" t="s">
        <v>181</v>
      </c>
      <c r="J29" s="141" t="s">
        <v>182</v>
      </c>
      <c r="K29" s="141" t="s">
        <v>183</v>
      </c>
      <c r="L29" s="141" t="s">
        <v>184</v>
      </c>
      <c r="M29" s="134"/>
      <c r="N29" s="135"/>
      <c r="O29" s="136"/>
      <c r="P29" s="137"/>
      <c r="R29" s="138"/>
      <c r="S29" s="134"/>
      <c r="T29" s="135"/>
      <c r="U29" s="136"/>
      <c r="V29" s="137"/>
    </row>
    <row r="30" spans="1:22" x14ac:dyDescent="0.2">
      <c r="A30">
        <v>2016</v>
      </c>
      <c r="I30" s="127">
        <f>'Year 2016'!$J$65</f>
        <v>10977762.220803564</v>
      </c>
      <c r="J30" s="127">
        <f>'Year 2016'!$P$65</f>
        <v>11358160.149381148</v>
      </c>
      <c r="K30" s="127">
        <f>J30-I30</f>
        <v>380397.92857758328</v>
      </c>
      <c r="L30" s="129">
        <f>K30/I30</f>
        <v>3.4651682276074881E-2</v>
      </c>
      <c r="N30" s="35"/>
      <c r="O30" s="36"/>
      <c r="P30" s="107"/>
      <c r="R30" s="41"/>
      <c r="S30" s="34"/>
      <c r="T30" s="35"/>
      <c r="U30" s="36"/>
      <c r="V30" s="107"/>
    </row>
    <row r="31" spans="1:22" x14ac:dyDescent="0.2">
      <c r="A31">
        <v>2017</v>
      </c>
      <c r="I31" s="127">
        <f>'Year 2017'!$J$65</f>
        <v>12727994.395376194</v>
      </c>
      <c r="J31" s="127">
        <f>'Year 2017'!$P$65</f>
        <v>13243146.395297579</v>
      </c>
      <c r="K31" s="127">
        <f t="shared" ref="K31:K35" si="2">J31-I31</f>
        <v>515151.9999213852</v>
      </c>
      <c r="L31" s="129">
        <f>K31/I31</f>
        <v>4.0473933592281339E-2</v>
      </c>
      <c r="N31" s="35"/>
      <c r="O31" s="36"/>
      <c r="P31" s="107"/>
      <c r="R31" s="41"/>
      <c r="S31" s="34"/>
      <c r="T31" s="35"/>
      <c r="U31" s="36"/>
      <c r="V31" s="107"/>
    </row>
    <row r="32" spans="1:22" x14ac:dyDescent="0.2">
      <c r="A32">
        <v>2018</v>
      </c>
      <c r="I32" s="127">
        <f>'Year 2018'!$J$65</f>
        <v>19718430.503235962</v>
      </c>
      <c r="J32" s="127">
        <f>'Year 2018'!$P$65</f>
        <v>20128684.278251559</v>
      </c>
      <c r="K32" s="127">
        <f t="shared" si="2"/>
        <v>410253.7750155963</v>
      </c>
      <c r="L32" s="129">
        <f t="shared" ref="L32:L34" si="3">K32/I32</f>
        <v>2.0805599864972529E-2</v>
      </c>
      <c r="N32" s="35"/>
      <c r="O32" s="36"/>
      <c r="P32" s="107"/>
      <c r="R32" s="41"/>
      <c r="S32" s="34"/>
      <c r="T32" s="35"/>
      <c r="U32" s="36"/>
      <c r="V32" s="107"/>
    </row>
    <row r="33" spans="1:22" x14ac:dyDescent="0.2">
      <c r="A33">
        <v>2019</v>
      </c>
      <c r="I33" s="127">
        <f>'Year 2019'!$J$65</f>
        <v>17110779.723485596</v>
      </c>
      <c r="J33" s="127">
        <f>'Year 2019'!$P$65</f>
        <v>17469985.95102806</v>
      </c>
      <c r="K33" s="127">
        <f t="shared" si="2"/>
        <v>359206.22754246369</v>
      </c>
      <c r="L33" s="129">
        <f t="shared" si="3"/>
        <v>2.0992978306501781E-2</v>
      </c>
      <c r="N33" s="35"/>
      <c r="O33" s="36"/>
      <c r="P33" s="107"/>
      <c r="R33" s="41"/>
      <c r="S33" s="34"/>
      <c r="T33" s="35"/>
      <c r="U33" s="36"/>
      <c r="V33" s="107"/>
    </row>
    <row r="34" spans="1:22" x14ac:dyDescent="0.2">
      <c r="A34">
        <v>2020</v>
      </c>
      <c r="I34" s="127">
        <f>'Year 2020'!$J$65</f>
        <v>14844783.183085602</v>
      </c>
      <c r="J34" s="127">
        <f>'Year 2020'!$P$65</f>
        <v>15276069.752871269</v>
      </c>
      <c r="K34" s="127">
        <f t="shared" si="2"/>
        <v>431286.56978566758</v>
      </c>
      <c r="L34" s="129">
        <f t="shared" si="3"/>
        <v>2.9053073020095223E-2</v>
      </c>
      <c r="N34" s="35"/>
      <c r="O34" s="36"/>
      <c r="P34" s="107"/>
      <c r="R34" s="41"/>
      <c r="S34" s="34"/>
      <c r="T34" s="35"/>
      <c r="U34" s="36"/>
      <c r="V34" s="107"/>
    </row>
    <row r="35" spans="1:22" ht="13.5" thickBot="1" x14ac:dyDescent="0.25">
      <c r="A35" s="241" t="s">
        <v>162</v>
      </c>
      <c r="B35" s="242"/>
      <c r="C35" s="243"/>
      <c r="D35" s="243"/>
      <c r="E35" s="243"/>
      <c r="F35" s="243"/>
      <c r="G35" s="243"/>
      <c r="H35" s="243"/>
      <c r="I35" s="244">
        <f>AVERAGE(I31:I34)</f>
        <v>16100496.951295838</v>
      </c>
      <c r="J35" s="244">
        <f>AVERAGE(J31:J34)</f>
        <v>16529471.594362115</v>
      </c>
      <c r="K35" s="244">
        <f t="shared" si="2"/>
        <v>428974.64306627773</v>
      </c>
      <c r="L35" s="245">
        <f>K35/I35</f>
        <v>2.6643565373412403E-2</v>
      </c>
      <c r="M35" s="34"/>
      <c r="N35" s="35"/>
      <c r="O35" s="36"/>
      <c r="P35" s="107"/>
      <c r="R35" s="41"/>
      <c r="S35" s="34"/>
      <c r="T35" s="35"/>
      <c r="U35" s="36"/>
      <c r="V35" s="107"/>
    </row>
    <row r="36" spans="1:22" ht="13.5" thickTop="1" x14ac:dyDescent="0.2">
      <c r="A36" s="161" t="str">
        <f>"Adjusted Load Profile - "&amp;'Adjust Load Profile'!$P$7</f>
        <v>Adjusted Load Profile - 2019</v>
      </c>
      <c r="B36" s="161"/>
      <c r="C36" s="183"/>
      <c r="D36" s="183"/>
      <c r="E36" s="183"/>
      <c r="F36" s="183"/>
      <c r="G36" s="183"/>
      <c r="H36" s="183"/>
      <c r="I36" s="164">
        <f>'Adjust Load Profile'!$J$65</f>
        <v>17110779.723485596</v>
      </c>
      <c r="J36" s="164">
        <f>'Adjust Load Profile'!$P$65</f>
        <v>17469985.886820912</v>
      </c>
      <c r="K36" s="164">
        <f>J36-I36</f>
        <v>359206.16333531588</v>
      </c>
      <c r="L36" s="165">
        <f>K36/I36</f>
        <v>2.0992974554063328E-2</v>
      </c>
      <c r="M36" s="34"/>
      <c r="N36" s="35"/>
      <c r="O36" s="36"/>
      <c r="P36" s="157"/>
      <c r="S36" s="34"/>
      <c r="T36" s="35"/>
      <c r="U36" s="36"/>
      <c r="V36" s="157"/>
    </row>
    <row r="37" spans="1:22" x14ac:dyDescent="0.2">
      <c r="C37" s="131"/>
      <c r="D37" s="131"/>
      <c r="E37" s="131"/>
      <c r="F37" s="131"/>
      <c r="G37" s="131"/>
      <c r="H37" s="131"/>
    </row>
  </sheetData>
  <dataValidations count="2">
    <dataValidation allowBlank="1" showInputMessage="1" sqref="T9:T10 U9 J9:N11 E9:H12 C1:D4 I12:L14 C13:H14 R12:R14 R18:R37 I9:I14 I30:L36 C18:L29 C37:L37 C35:H35" xr:uid="{DFCCCED1-8743-4F9C-A0F2-6734B06316D1}"/>
    <dataValidation allowBlank="1" showInputMessage="1" showErrorMessage="1" promptTitle="Reference" prompt="To align with targeted mitigation engagement threshold" sqref="A25" xr:uid="{2171C8CF-265D-4055-9178-3786B602EC4D}"/>
  </dataValidations>
  <printOptions horizontalCentered="1"/>
  <pageMargins left="0.25" right="0.25" top="0.5" bottom="0.5" header="0.3" footer="0.3"/>
  <pageSetup scale="93" orientation="portrait" r:id="rId1"/>
  <headerFooter alignWithMargins="0">
    <oddFooter>&amp;L&amp;8Attachment to Bill Estimator for 2021 Tariff (AESO ID #2021-015T)
Filename: &amp;F — Page&amp;P of &amp;N&amp;R&amp;8Confidentiality: Proprietary When Completed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94045-3057-4CA2-9DA7-F2DD9D4E5798}">
  <sheetPr>
    <tabColor theme="7" tint="0.59999389629810485"/>
    <pageSetUpPr fitToPage="1"/>
  </sheetPr>
  <dimension ref="A1:P66"/>
  <sheetViews>
    <sheetView showGridLines="0" zoomScale="85" zoomScaleNormal="85" workbookViewId="0">
      <selection activeCell="H22" sqref="H22"/>
    </sheetView>
  </sheetViews>
  <sheetFormatPr defaultColWidth="9.5703125" defaultRowHeight="12.75" x14ac:dyDescent="0.2"/>
  <cols>
    <col min="1" max="1" width="7.42578125" customWidth="1"/>
    <col min="2" max="2" width="8.42578125" customWidth="1"/>
    <col min="3" max="3" width="26.5703125" customWidth="1"/>
    <col min="4" max="4" width="8.5703125" customWidth="1"/>
    <col min="5" max="6" width="10.5703125" customWidth="1"/>
    <col min="7" max="7" width="15.7109375" customWidth="1"/>
    <col min="8" max="9" width="10.42578125" customWidth="1"/>
    <col min="10" max="10" width="15.7109375" customWidth="1"/>
    <col min="12" max="12" width="12.28515625" customWidth="1"/>
    <col min="13" max="13" width="17" customWidth="1"/>
    <col min="14" max="15" width="10.42578125" customWidth="1"/>
    <col min="16" max="16" width="15.140625" customWidth="1"/>
  </cols>
  <sheetData>
    <row r="1" spans="1:16" ht="18.75" x14ac:dyDescent="0.4">
      <c r="A1" t="s">
        <v>20</v>
      </c>
      <c r="C1" s="266" t="str">
        <f>ParticipantName</f>
        <v>DFO</v>
      </c>
      <c r="D1" s="266"/>
      <c r="E1" s="266"/>
      <c r="F1" s="266"/>
      <c r="G1" s="266"/>
      <c r="H1" s="266"/>
      <c r="L1" s="212" t="s">
        <v>166</v>
      </c>
      <c r="M1" s="212"/>
      <c r="N1" s="212"/>
      <c r="O1" s="212"/>
      <c r="P1" s="213">
        <f>$P$66</f>
        <v>2.0992974554063348E-2</v>
      </c>
    </row>
    <row r="2" spans="1:16" ht="18.75" x14ac:dyDescent="0.4">
      <c r="A2" t="s">
        <v>21</v>
      </c>
      <c r="C2" s="266" t="str">
        <f>SiteDescription</f>
        <v>Sample Site</v>
      </c>
      <c r="D2" s="266"/>
      <c r="E2" s="266"/>
      <c r="F2" s="266"/>
      <c r="G2" s="266"/>
      <c r="H2" s="266"/>
      <c r="L2" s="219" t="s">
        <v>33</v>
      </c>
      <c r="M2" s="219"/>
      <c r="N2" s="219"/>
      <c r="O2" s="219"/>
      <c r="P2" s="220">
        <f>$P$61</f>
        <v>5.6533297656944814E-2</v>
      </c>
    </row>
    <row r="3" spans="1:16" x14ac:dyDescent="0.2">
      <c r="A3" t="s">
        <v>34</v>
      </c>
      <c r="C3" s="266" t="str">
        <f>AccountID</f>
        <v>1000XXXXX</v>
      </c>
      <c r="D3" s="266"/>
      <c r="E3" s="266"/>
      <c r="F3" s="266"/>
      <c r="G3" s="266"/>
      <c r="H3" s="266"/>
    </row>
    <row r="4" spans="1:16" x14ac:dyDescent="0.2">
      <c r="A4" t="s">
        <v>23</v>
      </c>
      <c r="C4" s="267">
        <f ca="1">TODAY()</f>
        <v>44292</v>
      </c>
      <c r="D4" s="267"/>
      <c r="E4" s="267"/>
      <c r="G4" s="34"/>
      <c r="H4" s="147"/>
    </row>
    <row r="5" spans="1:16" s="4" customFormat="1" ht="7.15" customHeight="1" x14ac:dyDescent="0.15"/>
    <row r="6" spans="1:16" x14ac:dyDescent="0.2">
      <c r="I6" s="36" t="s">
        <v>35</v>
      </c>
      <c r="J6" s="125" t="s">
        <v>36</v>
      </c>
      <c r="O6" s="36" t="s">
        <v>35</v>
      </c>
      <c r="P6" s="125" t="s">
        <v>37</v>
      </c>
    </row>
    <row r="7" spans="1:16" ht="15.75" x14ac:dyDescent="0.25">
      <c r="I7" s="36"/>
      <c r="J7" s="125"/>
      <c r="O7" s="142" t="s">
        <v>38</v>
      </c>
      <c r="P7" s="166">
        <v>2019</v>
      </c>
    </row>
    <row r="9" spans="1:16" x14ac:dyDescent="0.2">
      <c r="I9" s="36"/>
      <c r="J9" s="148"/>
      <c r="M9" s="34"/>
      <c r="N9" s="147"/>
      <c r="O9" s="36"/>
      <c r="P9" s="148"/>
    </row>
    <row r="10" spans="1:16" x14ac:dyDescent="0.2">
      <c r="J10" s="8"/>
      <c r="L10" s="268" t="s">
        <v>150</v>
      </c>
      <c r="M10" s="268"/>
      <c r="P10" s="8"/>
    </row>
    <row r="11" spans="1:16" x14ac:dyDescent="0.2">
      <c r="B11" s="6" t="s">
        <v>39</v>
      </c>
      <c r="C11" s="6"/>
      <c r="D11" s="6"/>
      <c r="E11" s="6"/>
      <c r="F11" s="6" t="s">
        <v>40</v>
      </c>
      <c r="G11" s="6" t="s">
        <v>41</v>
      </c>
      <c r="H11" s="262" t="s">
        <v>42</v>
      </c>
      <c r="I11" s="262"/>
      <c r="K11" s="6"/>
      <c r="L11" s="159" t="s">
        <v>40</v>
      </c>
      <c r="M11" s="159" t="s">
        <v>41</v>
      </c>
      <c r="N11" s="262" t="s">
        <v>42</v>
      </c>
      <c r="O11" s="262"/>
    </row>
    <row r="12" spans="1:16" x14ac:dyDescent="0.2">
      <c r="B12" s="36" t="s">
        <v>43</v>
      </c>
      <c r="C12" t="s">
        <v>44</v>
      </c>
      <c r="G12" s="8"/>
      <c r="H12" s="39">
        <f>INDEX('Site Data Input'!$E$2:$E$6,MATCH($P$7,'Site Data Input'!$A$2:$A$6),1)</f>
        <v>1</v>
      </c>
      <c r="M12" s="8"/>
      <c r="N12" s="39">
        <f>H12</f>
        <v>1</v>
      </c>
    </row>
    <row r="13" spans="1:16" ht="13.5" thickBot="1" x14ac:dyDescent="0.25">
      <c r="B13" s="36" t="s">
        <v>45</v>
      </c>
      <c r="C13" t="s">
        <v>46</v>
      </c>
      <c r="G13" s="8"/>
      <c r="H13" s="125" t="str">
        <f>INDEX('Site Data Input'!$F$2:$F$6,MATCH($P$7,'Site Data Input'!$A$2:$A$6),1)</f>
        <v>No</v>
      </c>
      <c r="M13" s="8"/>
      <c r="N13" s="39" t="str">
        <f>H13</f>
        <v>No</v>
      </c>
    </row>
    <row r="14" spans="1:16" ht="13.5" thickBot="1" x14ac:dyDescent="0.25">
      <c r="B14" s="36" t="s">
        <v>47</v>
      </c>
      <c r="C14" t="s">
        <v>48</v>
      </c>
      <c r="G14" s="37">
        <f>INDEX('Site Data Input'!$L$2:$L$6,MATCH($P$7,'Site Data Input'!$A$2:$A$6),1)/12</f>
        <v>28.08916983545377</v>
      </c>
      <c r="H14" s="37">
        <f>G14*12</f>
        <v>337.07003802544523</v>
      </c>
      <c r="I14" t="s">
        <v>49</v>
      </c>
      <c r="M14" s="149"/>
      <c r="N14" s="37">
        <f>IF(ISBLANK(M14),H14,M14*12)</f>
        <v>337.07003802544523</v>
      </c>
      <c r="O14" t="s">
        <v>49</v>
      </c>
    </row>
    <row r="15" spans="1:16" ht="13.5" thickBot="1" x14ac:dyDescent="0.25">
      <c r="B15" s="36" t="s">
        <v>50</v>
      </c>
      <c r="C15" s="41" t="s">
        <v>51</v>
      </c>
      <c r="F15" s="123">
        <f>H15/H14</f>
        <v>0.73277894902985929</v>
      </c>
      <c r="G15" s="37">
        <f>INDEX('Site Data Input'!$I$2:$I$6,MATCH($P$7,'Site Data Input'!$A$2:$A$6),1)/12</f>
        <v>20.583152351145038</v>
      </c>
      <c r="H15" s="37">
        <f>G15*12</f>
        <v>246.99782821374046</v>
      </c>
      <c r="I15" t="s">
        <v>49</v>
      </c>
      <c r="L15" s="123">
        <f>N15/N14</f>
        <v>0.73277894902985929</v>
      </c>
      <c r="M15" s="149"/>
      <c r="N15" s="37">
        <f>IF(ISBLANK(M15),H15,M15*12)</f>
        <v>246.99782821374046</v>
      </c>
      <c r="O15" s="41" t="s">
        <v>49</v>
      </c>
    </row>
    <row r="16" spans="1:16" ht="13.5" thickBot="1" x14ac:dyDescent="0.25">
      <c r="B16" s="112" t="s">
        <v>52</v>
      </c>
      <c r="C16" t="s">
        <v>53</v>
      </c>
      <c r="G16" s="122">
        <f>INDEX('Site Data Input'!$G$2:$G$6,MATCH($P$7,'Site Data Input'!$A$2:$A$6),1)</f>
        <v>43.4</v>
      </c>
      <c r="H16" s="124">
        <f>G16</f>
        <v>43.4</v>
      </c>
      <c r="I16" t="s">
        <v>49</v>
      </c>
      <c r="M16" s="149"/>
      <c r="N16" s="37">
        <f>IF(ISBLANK(M16),H16,M16)</f>
        <v>43.4</v>
      </c>
      <c r="O16" t="s">
        <v>49</v>
      </c>
    </row>
    <row r="17" spans="1:16" ht="13.5" thickBot="1" x14ac:dyDescent="0.25">
      <c r="B17" s="112" t="s">
        <v>54</v>
      </c>
      <c r="C17" t="s">
        <v>55</v>
      </c>
      <c r="F17" s="123">
        <f>H17/(G14*VLOOKUP($P$7,Year_hours,2,FALSE))</f>
        <v>0.84271641228561678</v>
      </c>
      <c r="G17" s="38">
        <f>H17/12</f>
        <v>17279.97923230493</v>
      </c>
      <c r="H17" s="38">
        <f>INDEX('Site Data Input'!$H$2:$H$6,MATCH($P$7,'Site Data Input'!$A$2:$A$6),1)</f>
        <v>207359.75078765914</v>
      </c>
      <c r="I17" t="s">
        <v>56</v>
      </c>
      <c r="L17" s="150"/>
      <c r="M17" s="208"/>
      <c r="N17" s="38">
        <f>IF(ISBLANK(M17),IF(ISBLANK(L17),H17,N14/12*L17*VLOOKUP($P$7,Year_hours,2,FALSE)),M17*12)</f>
        <v>207359.75078765914</v>
      </c>
      <c r="O17" t="s">
        <v>56</v>
      </c>
    </row>
    <row r="18" spans="1:16" x14ac:dyDescent="0.2">
      <c r="B18" s="112" t="s">
        <v>57</v>
      </c>
      <c r="C18" t="s">
        <v>58</v>
      </c>
      <c r="G18" s="37">
        <f>H18/12</f>
        <v>39.06</v>
      </c>
      <c r="H18" s="37">
        <f>MAX(G14,G16*90%)*12</f>
        <v>468.72</v>
      </c>
      <c r="I18" t="s">
        <v>49</v>
      </c>
      <c r="M18" s="37"/>
      <c r="N18" s="37">
        <f>MAX(N14,N16*12*90%,N14*90%)</f>
        <v>468.71999999999997</v>
      </c>
      <c r="O18" t="s">
        <v>49</v>
      </c>
    </row>
    <row r="19" spans="1:16" x14ac:dyDescent="0.2">
      <c r="B19" s="112" t="s">
        <v>59</v>
      </c>
      <c r="C19" t="s">
        <v>60</v>
      </c>
      <c r="G19" s="8"/>
      <c r="H19" s="151">
        <f>INDEX('Site Data Input'!$N$2:$N$6,MATCH($P$7,'Site Data Input'!$A$2:$A$6),1)/(INDEX('Site Data Input'!$H$2:$H$6,MATCH($P$7,'Site Data Input'!$A$2:$A$6),1)*$H$22)</f>
        <v>6.4476202657861678E-2</v>
      </c>
      <c r="M19" s="8"/>
      <c r="N19" s="94">
        <f>H19</f>
        <v>6.4476202657861678E-2</v>
      </c>
    </row>
    <row r="20" spans="1:16" x14ac:dyDescent="0.2">
      <c r="B20" s="112" t="s">
        <v>61</v>
      </c>
      <c r="C20" s="41" t="s">
        <v>153</v>
      </c>
      <c r="G20" s="92"/>
      <c r="H20" s="37">
        <f>INDEX('Site Data Input'!$R$2:$R$6,MATCH($P$7,'Site Data Input'!$A$2:$A$6),1)/INDEX(Lookup!$C$24:$Z$24,1,MATCH($J$6,Lookup!$C$1:$Z$1,0))</f>
        <v>0</v>
      </c>
      <c r="I20" t="s">
        <v>63</v>
      </c>
      <c r="M20" s="8"/>
      <c r="N20" s="37">
        <f>H20</f>
        <v>0</v>
      </c>
      <c r="O20" t="s">
        <v>63</v>
      </c>
    </row>
    <row r="21" spans="1:16" x14ac:dyDescent="0.2">
      <c r="B21" s="36" t="s">
        <v>64</v>
      </c>
      <c r="C21" t="s">
        <v>65</v>
      </c>
      <c r="G21" s="8"/>
      <c r="H21" s="93">
        <f>INDEX('Site Data Input'!$M$2:$M$6,MATCH($P$7,'Site Data Input'!$A$2:$A$6),1)/INDEX('Site Data Input'!$H$2:$H$6,MATCH($P$7,'Site Data Input'!$A$2:$A$6),1)</f>
        <v>51.875511359955233</v>
      </c>
      <c r="I21" s="16" t="s">
        <v>66</v>
      </c>
      <c r="M21" s="8"/>
      <c r="N21" s="93">
        <f>H21</f>
        <v>51.875511359955233</v>
      </c>
      <c r="O21" s="16" t="s">
        <v>66</v>
      </c>
    </row>
    <row r="22" spans="1:16" x14ac:dyDescent="0.2">
      <c r="B22" s="36" t="s">
        <v>67</v>
      </c>
      <c r="C22" t="s">
        <v>68</v>
      </c>
      <c r="G22" s="8"/>
      <c r="H22" s="93">
        <f>INDEX(Lookup!$C$18:$Z$18,1,MATCH($P$7,Lookup!$C$1:$Z$1,0))</f>
        <v>54.88</v>
      </c>
      <c r="I22" s="16" t="s">
        <v>66</v>
      </c>
      <c r="M22" s="8"/>
      <c r="N22" s="93">
        <f>H22</f>
        <v>54.88</v>
      </c>
      <c r="O22" s="16" t="s">
        <v>66</v>
      </c>
    </row>
    <row r="24" spans="1:16" x14ac:dyDescent="0.2">
      <c r="A24" s="262" t="s">
        <v>69</v>
      </c>
      <c r="B24" s="262"/>
      <c r="C24" s="262"/>
      <c r="D24" s="262"/>
      <c r="E24" s="262"/>
      <c r="F24" s="262" t="s">
        <v>70</v>
      </c>
      <c r="G24" s="262"/>
      <c r="H24" s="262" t="s">
        <v>71</v>
      </c>
      <c r="I24" s="262"/>
      <c r="J24" s="40" t="s">
        <v>72</v>
      </c>
      <c r="L24" s="262" t="s">
        <v>70</v>
      </c>
      <c r="M24" s="262"/>
      <c r="N24" s="262" t="s">
        <v>71</v>
      </c>
      <c r="O24" s="262"/>
      <c r="P24" s="40" t="s">
        <v>72</v>
      </c>
    </row>
    <row r="25" spans="1:16" x14ac:dyDescent="0.2">
      <c r="A25" s="263" t="s">
        <v>73</v>
      </c>
      <c r="B25" s="264"/>
      <c r="C25" s="264"/>
      <c r="D25" s="264"/>
      <c r="E25" s="264"/>
      <c r="F25" s="264"/>
      <c r="G25" s="264"/>
      <c r="H25" s="264"/>
      <c r="I25" s="264"/>
      <c r="J25" s="265"/>
      <c r="L25" s="228" t="s">
        <v>73</v>
      </c>
      <c r="M25" s="229"/>
      <c r="N25" s="229"/>
      <c r="O25" s="229"/>
      <c r="P25" s="230"/>
    </row>
    <row r="26" spans="1:16" x14ac:dyDescent="0.2">
      <c r="A26" s="5" t="s">
        <v>74</v>
      </c>
      <c r="C26" s="5"/>
      <c r="D26" s="5"/>
      <c r="E26" s="5"/>
      <c r="F26" s="5"/>
      <c r="G26" s="5"/>
      <c r="H26" s="42"/>
      <c r="I26" s="5"/>
      <c r="J26" s="9"/>
      <c r="L26" s="5"/>
      <c r="M26" s="5"/>
      <c r="N26" s="42"/>
      <c r="O26" s="5"/>
      <c r="P26" s="9"/>
    </row>
    <row r="27" spans="1:16" x14ac:dyDescent="0.2">
      <c r="A27" s="28" t="s">
        <v>75</v>
      </c>
      <c r="B27" s="29"/>
      <c r="C27" s="29"/>
      <c r="D27" s="29"/>
      <c r="E27" s="29"/>
      <c r="F27" s="30"/>
      <c r="G27" s="29"/>
      <c r="H27" s="43"/>
      <c r="I27" s="29"/>
      <c r="J27" s="53"/>
      <c r="L27" s="113"/>
      <c r="M27" s="29"/>
      <c r="N27" s="43"/>
      <c r="O27" s="29"/>
      <c r="P27" s="53"/>
    </row>
    <row r="28" spans="1:16" x14ac:dyDescent="0.2">
      <c r="A28" s="15" t="s">
        <v>76</v>
      </c>
      <c r="B28" t="s">
        <v>77</v>
      </c>
      <c r="F28" s="88">
        <f>INDEX(Lookup!$C$4:$Z$4,1,MATCH($J$6,Lookup!$C$1:$Z$1,0))</f>
        <v>10087</v>
      </c>
      <c r="G28" s="16" t="s">
        <v>78</v>
      </c>
      <c r="H28" s="37">
        <f>H15</f>
        <v>246.99782821374046</v>
      </c>
      <c r="I28" t="str">
        <f>I15</f>
        <v>MW</v>
      </c>
      <c r="J28" s="54">
        <f>F28*H28</f>
        <v>2491467.0931919999</v>
      </c>
      <c r="L28" s="114">
        <f>INDEX(Lookup!$C$4:$Z$4,1,MATCH($P$6,Lookup!$C$1:$Z$1,0))</f>
        <v>5980</v>
      </c>
      <c r="M28" s="16" t="s">
        <v>78</v>
      </c>
      <c r="N28" s="37">
        <f>N15</f>
        <v>246.99782821374046</v>
      </c>
      <c r="O28" t="str">
        <f>O15</f>
        <v>MW</v>
      </c>
      <c r="P28" s="54">
        <f>L28*N28</f>
        <v>1477047.0127181679</v>
      </c>
    </row>
    <row r="29" spans="1:16" x14ac:dyDescent="0.2">
      <c r="A29" s="31" t="s">
        <v>79</v>
      </c>
      <c r="B29" s="32"/>
      <c r="C29" s="32"/>
      <c r="D29" s="32"/>
      <c r="E29" s="32"/>
      <c r="F29" s="33"/>
      <c r="G29" s="32"/>
      <c r="H29" s="45"/>
      <c r="I29" s="32"/>
      <c r="J29" s="56"/>
      <c r="L29" s="115"/>
      <c r="M29" s="32"/>
      <c r="N29" s="45"/>
      <c r="O29" s="32"/>
      <c r="P29" s="56"/>
    </row>
    <row r="30" spans="1:16" x14ac:dyDescent="0.2">
      <c r="A30" s="15" t="s">
        <v>80</v>
      </c>
      <c r="B30" t="s">
        <v>58</v>
      </c>
      <c r="F30" s="88">
        <f>INDEX(Lookup!$C$6:$Z$6,1,MATCH($J$6,Lookup!$C$1:$Z$1,0))</f>
        <v>2668</v>
      </c>
      <c r="G30" s="16" t="s">
        <v>78</v>
      </c>
      <c r="H30" s="37">
        <f>H18</f>
        <v>468.72</v>
      </c>
      <c r="I30" t="str">
        <f>I18</f>
        <v>MW</v>
      </c>
      <c r="J30" s="54">
        <f>F30*H30</f>
        <v>1250544.96</v>
      </c>
      <c r="L30" s="114">
        <f>INDEX(Lookup!$C$6:$Z$6,1,MATCH($P$6,Lookup!$C$1:$Z$1,0))</f>
        <v>2055</v>
      </c>
      <c r="M30" s="16" t="s">
        <v>78</v>
      </c>
      <c r="N30" s="37">
        <f>N18</f>
        <v>468.71999999999997</v>
      </c>
      <c r="O30" t="str">
        <f>O18</f>
        <v>MW</v>
      </c>
      <c r="P30" s="54">
        <f>L30*N30</f>
        <v>963219.6</v>
      </c>
    </row>
    <row r="31" spans="1:16" x14ac:dyDescent="0.2">
      <c r="A31" s="31" t="s">
        <v>81</v>
      </c>
      <c r="B31" s="32"/>
      <c r="C31" s="32"/>
      <c r="D31" s="32"/>
      <c r="E31" s="32"/>
      <c r="F31" s="33"/>
      <c r="G31" s="32"/>
      <c r="H31" s="45"/>
      <c r="I31" s="32"/>
      <c r="J31" s="56"/>
      <c r="L31" s="115"/>
      <c r="M31" s="32"/>
      <c r="N31" s="45"/>
      <c r="O31" s="32"/>
      <c r="P31" s="56"/>
    </row>
    <row r="32" spans="1:16" x14ac:dyDescent="0.2">
      <c r="A32" s="156" t="s">
        <v>82</v>
      </c>
      <c r="B32" s="17" t="s">
        <v>55</v>
      </c>
      <c r="C32" s="17"/>
      <c r="D32" s="17"/>
      <c r="E32" s="17"/>
      <c r="F32" s="88">
        <f>INDEX(Lookup!$C$7:$Z$7,1,MATCH($J$6,Lookup!$C$1:$Z$1,0))</f>
        <v>2.1799999999999997</v>
      </c>
      <c r="G32" s="18" t="s">
        <v>66</v>
      </c>
      <c r="H32" s="44">
        <f>H17</f>
        <v>207359.75078765914</v>
      </c>
      <c r="I32" s="17" t="str">
        <f>I17</f>
        <v>MWh</v>
      </c>
      <c r="J32" s="55">
        <f>F32*H32</f>
        <v>452044.25671709684</v>
      </c>
      <c r="L32" s="114">
        <f>INDEX(Lookup!$C$7:$Z$7,1,MATCH($P$6,Lookup!$C$1:$Z$1,0))*1</f>
        <v>10.19</v>
      </c>
      <c r="M32" s="18" t="s">
        <v>66</v>
      </c>
      <c r="N32" s="44">
        <f>N17</f>
        <v>207359.75078765914</v>
      </c>
      <c r="O32" s="17" t="str">
        <f>O17</f>
        <v>MWh</v>
      </c>
      <c r="P32" s="55">
        <f>L32*N32</f>
        <v>2112995.8605262465</v>
      </c>
    </row>
    <row r="33" spans="1:16" x14ac:dyDescent="0.2">
      <c r="A33" s="31" t="s">
        <v>83</v>
      </c>
      <c r="B33" s="32"/>
      <c r="C33" s="32"/>
      <c r="D33" s="32"/>
      <c r="E33" s="32"/>
      <c r="F33" s="33"/>
      <c r="G33" s="32"/>
      <c r="H33" s="45"/>
      <c r="I33" s="32"/>
      <c r="J33" s="56"/>
      <c r="L33" s="115"/>
      <c r="M33" s="32"/>
      <c r="N33" s="45"/>
      <c r="O33" s="32"/>
      <c r="P33" s="56"/>
    </row>
    <row r="34" spans="1:16" x14ac:dyDescent="0.2">
      <c r="A34" s="15" t="s">
        <v>84</v>
      </c>
      <c r="B34" t="s">
        <v>85</v>
      </c>
      <c r="F34" s="88">
        <f>INDEX(Lookup!$C$8:$Z$8,1,MATCH($J$6,Lookup!$C$1:$Z$1,0))</f>
        <v>11278</v>
      </c>
      <c r="G34" s="16" t="s">
        <v>86</v>
      </c>
      <c r="H34" s="39">
        <f>H12</f>
        <v>1</v>
      </c>
      <c r="J34" s="54">
        <f>F34*H34*12</f>
        <v>135336</v>
      </c>
      <c r="L34" s="114">
        <f>INDEX(Lookup!$C$8:$Z$8,1,MATCH($J$6,Lookup!$C$1:$Z$1,0))</f>
        <v>11278</v>
      </c>
      <c r="M34" s="16" t="s">
        <v>86</v>
      </c>
      <c r="N34" s="39">
        <f>N12</f>
        <v>1</v>
      </c>
      <c r="P34" s="54">
        <f>L34*N34*12</f>
        <v>135336</v>
      </c>
    </row>
    <row r="35" spans="1:16" x14ac:dyDescent="0.2">
      <c r="A35" s="15" t="s">
        <v>87</v>
      </c>
      <c r="B35" t="s">
        <v>88</v>
      </c>
      <c r="F35" s="88">
        <f>INDEX(Lookup!$C$9:$Z$9,1,MATCH($J$6,Lookup!$C$1:$Z$1,0))</f>
        <v>4566</v>
      </c>
      <c r="G35" s="16" t="s">
        <v>78</v>
      </c>
      <c r="H35" s="37">
        <f>MIN(G18,7.5*H12)</f>
        <v>7.5</v>
      </c>
      <c r="I35" t="str">
        <f>I18</f>
        <v>MW</v>
      </c>
      <c r="J35" s="54">
        <f>F35*H35*12</f>
        <v>410940</v>
      </c>
      <c r="L35" s="114">
        <f>INDEX(Lookup!$C$9:$Z$9,1,MATCH($J$6,Lookup!$C$1:$Z$1,0))</f>
        <v>4566</v>
      </c>
      <c r="M35" s="16" t="s">
        <v>78</v>
      </c>
      <c r="N35" s="37">
        <f>MIN(N18/12,7.5*N12)</f>
        <v>7.5</v>
      </c>
      <c r="O35" t="str">
        <f>O18</f>
        <v>MW</v>
      </c>
      <c r="P35" s="54">
        <f>L35*N35*12</f>
        <v>410940</v>
      </c>
    </row>
    <row r="36" spans="1:16" x14ac:dyDescent="0.2">
      <c r="A36" s="15" t="s">
        <v>89</v>
      </c>
      <c r="B36" t="s">
        <v>90</v>
      </c>
      <c r="F36" s="88">
        <f>INDEX(Lookup!$C$10:$Z$10,1,MATCH($J$6,Lookup!$C$1:$Z$1,0))</f>
        <v>2860</v>
      </c>
      <c r="G36" s="16" t="s">
        <v>78</v>
      </c>
      <c r="H36" s="37">
        <f>MAX(MIN(G18,17*H12)-(7.5*H12),0)</f>
        <v>9.5</v>
      </c>
      <c r="I36" t="str">
        <f>I18</f>
        <v>MW</v>
      </c>
      <c r="J36" s="54">
        <f>F36*H36*12</f>
        <v>326040</v>
      </c>
      <c r="L36" s="114">
        <f>INDEX(Lookup!$C$10:$Z$10,1,MATCH($J$6,Lookup!$C$1:$Z$1,0))</f>
        <v>2860</v>
      </c>
      <c r="M36" s="16" t="s">
        <v>78</v>
      </c>
      <c r="N36" s="37">
        <f>MAX(MIN(N18/12,17*N12)-(7.5*N12),0)</f>
        <v>9.5</v>
      </c>
      <c r="O36" t="str">
        <f>O18</f>
        <v>MW</v>
      </c>
      <c r="P36" s="54">
        <f>L36*N36*12</f>
        <v>326040</v>
      </c>
    </row>
    <row r="37" spans="1:16" x14ac:dyDescent="0.2">
      <c r="A37" s="15" t="s">
        <v>91</v>
      </c>
      <c r="B37" t="s">
        <v>92</v>
      </c>
      <c r="F37" s="88">
        <f>INDEX(Lookup!$C$11:$Z$11,1,MATCH($J$6,Lookup!$C$1:$Z$1,0))</f>
        <v>1995</v>
      </c>
      <c r="G37" s="16" t="s">
        <v>78</v>
      </c>
      <c r="H37" s="37">
        <f>MAX(MIN(G18,40*H12)-(17*H12),0)</f>
        <v>22.060000000000002</v>
      </c>
      <c r="I37" t="str">
        <f>I18</f>
        <v>MW</v>
      </c>
      <c r="J37" s="54">
        <f>F37*H37*12</f>
        <v>528116.4</v>
      </c>
      <c r="L37" s="114">
        <f>INDEX(Lookup!$C$11:$Z$11,1,MATCH($J$6,Lookup!$C$1:$Z$1,0))</f>
        <v>1995</v>
      </c>
      <c r="M37" s="16" t="s">
        <v>78</v>
      </c>
      <c r="N37" s="37">
        <f>MAX(MIN(N18/12,40*N12)-(17*N12),0)</f>
        <v>22.059999999999995</v>
      </c>
      <c r="O37" t="str">
        <f>O18</f>
        <v>MW</v>
      </c>
      <c r="P37" s="54">
        <f>L37*N37*12</f>
        <v>528116.39999999991</v>
      </c>
    </row>
    <row r="38" spans="1:16" x14ac:dyDescent="0.2">
      <c r="A38" s="21" t="s">
        <v>93</v>
      </c>
      <c r="B38" s="19" t="s">
        <v>94</v>
      </c>
      <c r="C38" s="19"/>
      <c r="D38" s="19"/>
      <c r="E38" s="19"/>
      <c r="F38" s="89">
        <f>INDEX(Lookup!$C$12:$Z$12,1,MATCH($J$6,Lookup!$C$1:$Z$1,0))</f>
        <v>1292</v>
      </c>
      <c r="G38" s="20" t="s">
        <v>78</v>
      </c>
      <c r="H38" s="46">
        <f>MAX(G18-(40*H12),0)</f>
        <v>0</v>
      </c>
      <c r="I38" s="19" t="str">
        <f>I18</f>
        <v>MW</v>
      </c>
      <c r="J38" s="57">
        <f>F38*H38*12</f>
        <v>0</v>
      </c>
      <c r="L38" s="116">
        <f>INDEX(Lookup!$C$12:$Z$12,1,MATCH($J$6,Lookup!$C$1:$Z$1,0))</f>
        <v>1292</v>
      </c>
      <c r="M38" s="20" t="s">
        <v>78</v>
      </c>
      <c r="N38" s="46">
        <f>MAX(N18/12-(40*N12),0)</f>
        <v>0</v>
      </c>
      <c r="O38" s="19" t="str">
        <f>O18</f>
        <v>MW</v>
      </c>
      <c r="P38" s="57">
        <f>L38*N38*12</f>
        <v>0</v>
      </c>
    </row>
    <row r="39" spans="1:16" ht="12.75" customHeight="1" x14ac:dyDescent="0.2">
      <c r="A39" s="22" t="s">
        <v>95</v>
      </c>
      <c r="B39" s="23"/>
      <c r="C39" s="23"/>
      <c r="D39" s="23"/>
      <c r="E39" s="23"/>
      <c r="F39" s="24"/>
      <c r="G39" s="23"/>
      <c r="H39" s="49"/>
      <c r="I39" s="23"/>
      <c r="J39" s="60">
        <f>SUM(J28:J38)</f>
        <v>5594488.7099090973</v>
      </c>
      <c r="L39" s="154" t="s">
        <v>95</v>
      </c>
      <c r="M39" s="23"/>
      <c r="N39" s="49"/>
      <c r="O39" s="23"/>
      <c r="P39" s="60">
        <f>SUM(P28:P38)</f>
        <v>5953694.8732444141</v>
      </c>
    </row>
    <row r="40" spans="1:16" ht="12.75" customHeight="1" x14ac:dyDescent="0.2">
      <c r="J40" s="7"/>
      <c r="L40" s="171"/>
      <c r="M40" s="171"/>
      <c r="N40" s="171"/>
      <c r="O40" s="171"/>
      <c r="P40" s="171"/>
    </row>
    <row r="41" spans="1:16" x14ac:dyDescent="0.2">
      <c r="A41" s="5" t="s">
        <v>96</v>
      </c>
      <c r="C41" s="5"/>
      <c r="D41" s="5"/>
      <c r="E41" s="5"/>
      <c r="F41" s="5"/>
      <c r="G41" s="5"/>
      <c r="H41" s="42"/>
      <c r="I41" s="5"/>
      <c r="J41" s="9"/>
      <c r="L41" s="172"/>
      <c r="M41" s="172"/>
      <c r="N41" s="173"/>
      <c r="O41" s="172"/>
      <c r="P41" s="189"/>
    </row>
    <row r="42" spans="1:16" x14ac:dyDescent="0.2">
      <c r="A42" s="10" t="s">
        <v>97</v>
      </c>
      <c r="B42" s="11" t="s">
        <v>55</v>
      </c>
      <c r="C42" s="11"/>
      <c r="D42" s="51" t="s">
        <v>98</v>
      </c>
      <c r="E42" s="62">
        <f>H19</f>
        <v>6.4476202657861678E-2</v>
      </c>
      <c r="F42" s="52">
        <f>H22</f>
        <v>54.88</v>
      </c>
      <c r="G42" s="50" t="s">
        <v>66</v>
      </c>
      <c r="H42" s="47">
        <f>H17</f>
        <v>207359.75078765914</v>
      </c>
      <c r="I42" s="11" t="str">
        <f>I17</f>
        <v>MWh</v>
      </c>
      <c r="J42" s="58">
        <f>E42*F42*H42</f>
        <v>733732.94</v>
      </c>
      <c r="L42" s="118">
        <f>F42</f>
        <v>54.88</v>
      </c>
      <c r="M42" s="50" t="s">
        <v>66</v>
      </c>
      <c r="N42" s="47">
        <f>N17</f>
        <v>207359.75078765914</v>
      </c>
      <c r="O42" s="11" t="str">
        <f>O17</f>
        <v>MWh</v>
      </c>
      <c r="P42" s="58">
        <f>E42*L42*N42</f>
        <v>733732.94</v>
      </c>
    </row>
    <row r="43" spans="1:16" x14ac:dyDescent="0.2">
      <c r="A43" s="5" t="s">
        <v>99</v>
      </c>
      <c r="C43" s="5"/>
      <c r="D43" s="5"/>
      <c r="E43" s="5"/>
      <c r="F43" s="5"/>
      <c r="G43" s="5"/>
      <c r="H43" s="42"/>
      <c r="I43" s="5"/>
      <c r="J43" s="9"/>
      <c r="L43" s="117"/>
      <c r="M43" s="5"/>
      <c r="N43" s="42"/>
      <c r="O43" s="5"/>
      <c r="P43" s="9"/>
    </row>
    <row r="44" spans="1:16" x14ac:dyDescent="0.2">
      <c r="A44" s="10" t="s">
        <v>100</v>
      </c>
      <c r="B44" s="11" t="s">
        <v>55</v>
      </c>
      <c r="C44" s="11"/>
      <c r="D44" s="11"/>
      <c r="E44" s="11"/>
      <c r="F44" s="90">
        <f>INDEX(Lookup!$C$20:$Z$20,1,MATCH($J$6,Lookup!$C$1:$Z$1,0))</f>
        <v>2E-3</v>
      </c>
      <c r="G44" s="12" t="s">
        <v>66</v>
      </c>
      <c r="H44" s="47">
        <f>H17</f>
        <v>207359.75078765914</v>
      </c>
      <c r="I44" s="11" t="str">
        <f>I18</f>
        <v>MW</v>
      </c>
      <c r="J44" s="58">
        <f>F44*H44</f>
        <v>414.7195015753183</v>
      </c>
      <c r="L44" s="119">
        <f>INDEX(Lookup!$C$20:$Z$20,1,MATCH($J$6,Lookup!$C$1:$Z$1,0))</f>
        <v>2E-3</v>
      </c>
      <c r="M44" s="12" t="s">
        <v>66</v>
      </c>
      <c r="N44" s="47">
        <f>N17</f>
        <v>207359.75078765914</v>
      </c>
      <c r="O44" s="11" t="str">
        <f>O17</f>
        <v>MWh</v>
      </c>
      <c r="P44" s="58">
        <f>L44*N44</f>
        <v>414.7195015753183</v>
      </c>
    </row>
    <row r="45" spans="1:16" x14ac:dyDescent="0.2">
      <c r="A45" s="5" t="s">
        <v>101</v>
      </c>
      <c r="C45" s="5"/>
      <c r="D45" s="5"/>
      <c r="E45" s="5"/>
      <c r="F45" s="5"/>
      <c r="G45" s="5"/>
      <c r="H45" s="42"/>
      <c r="I45" s="5"/>
      <c r="J45" s="9"/>
      <c r="L45" s="117"/>
      <c r="M45" s="5"/>
      <c r="N45" s="42"/>
      <c r="O45" s="5"/>
      <c r="P45" s="9"/>
    </row>
    <row r="46" spans="1:16" x14ac:dyDescent="0.2">
      <c r="A46" s="10" t="s">
        <v>102</v>
      </c>
      <c r="B46" s="11" t="s">
        <v>55</v>
      </c>
      <c r="C46" s="11"/>
      <c r="D46" s="11"/>
      <c r="E46" s="11"/>
      <c r="F46" s="87">
        <f>INDEX(Lookup!$C$21:$Z$21,1,MATCH($J$6,Lookup!$C$1:$Z$1,0))</f>
        <v>0.06</v>
      </c>
      <c r="G46" s="12" t="s">
        <v>66</v>
      </c>
      <c r="H46" s="47">
        <f>H17</f>
        <v>207359.75078765914</v>
      </c>
      <c r="I46" s="11" t="str">
        <f>I17</f>
        <v>MWh</v>
      </c>
      <c r="J46" s="58">
        <f>F46*H46</f>
        <v>12441.585047259548</v>
      </c>
      <c r="L46" s="120">
        <f>INDEX(Lookup!$C$21:$Z$21,1,MATCH($J$6,Lookup!$C$1:$Z$1,0))</f>
        <v>0.06</v>
      </c>
      <c r="M46" s="12" t="s">
        <v>66</v>
      </c>
      <c r="N46" s="47">
        <f>N17</f>
        <v>207359.75078765914</v>
      </c>
      <c r="O46" s="11" t="str">
        <f>O17</f>
        <v>MWh</v>
      </c>
      <c r="P46" s="58">
        <f>L46*N46</f>
        <v>12441.585047259548</v>
      </c>
    </row>
    <row r="47" spans="1:16" x14ac:dyDescent="0.2">
      <c r="A47" s="5" t="s">
        <v>103</v>
      </c>
      <c r="B47" s="5"/>
      <c r="C47" s="5"/>
      <c r="D47" s="5"/>
      <c r="E47" s="5"/>
      <c r="F47" s="5"/>
      <c r="G47" s="5"/>
      <c r="H47" s="42"/>
      <c r="I47" s="5"/>
      <c r="J47" s="9"/>
      <c r="L47" s="117"/>
      <c r="M47" s="5"/>
      <c r="N47" s="42"/>
      <c r="O47" s="5"/>
      <c r="P47" s="9"/>
    </row>
    <row r="48" spans="1:16" x14ac:dyDescent="0.2">
      <c r="A48" s="155" t="s">
        <v>104</v>
      </c>
      <c r="B48" s="13" t="s">
        <v>48</v>
      </c>
      <c r="C48" s="13"/>
      <c r="D48" s="13"/>
      <c r="E48" s="13"/>
      <c r="F48" s="91">
        <f>INDEX(Lookup!$C$22:$Z$22,1,MATCH($J$6,Lookup!$C$1:$Z$1,0))</f>
        <v>38</v>
      </c>
      <c r="G48" s="14" t="s">
        <v>78</v>
      </c>
      <c r="H48" s="48">
        <f>H14</f>
        <v>337.07003802544523</v>
      </c>
      <c r="I48" s="13" t="str">
        <f>I14</f>
        <v>MW</v>
      </c>
      <c r="J48" s="59">
        <f>F48*H48</f>
        <v>12808.661444966918</v>
      </c>
      <c r="L48" s="121">
        <f>INDEX(Lookup!$C$22:$Z$22,1,MATCH($J$6,Lookup!$C$1:$Z$1,0))</f>
        <v>38</v>
      </c>
      <c r="M48" s="14" t="s">
        <v>78</v>
      </c>
      <c r="N48" s="48">
        <f>N14</f>
        <v>337.07003802544523</v>
      </c>
      <c r="O48" s="13" t="str">
        <f>O14</f>
        <v>MW</v>
      </c>
      <c r="P48" s="59">
        <f>L48*N48</f>
        <v>12808.661444966918</v>
      </c>
    </row>
    <row r="49" spans="1:16" x14ac:dyDescent="0.2">
      <c r="A49" s="153" t="s">
        <v>105</v>
      </c>
      <c r="B49" s="19" t="s">
        <v>62</v>
      </c>
      <c r="C49" s="19"/>
      <c r="D49" s="19"/>
      <c r="E49" s="19"/>
      <c r="F49" s="89">
        <f>INDEX(Lookup!$C$24:$Z$24,1,MATCH($J$6,Lookup!$C$1:$Z$1,0))</f>
        <v>400</v>
      </c>
      <c r="G49" s="20" t="s">
        <v>106</v>
      </c>
      <c r="H49" s="46">
        <f>H20</f>
        <v>0</v>
      </c>
      <c r="I49" s="19" t="str">
        <f>I20</f>
        <v>MVA</v>
      </c>
      <c r="J49" s="57">
        <f>F49*H49</f>
        <v>0</v>
      </c>
      <c r="L49" s="116">
        <f>INDEX(Lookup!$C$24:$Z$24,1,MATCH($J$6,Lookup!$C$1:$Z$1,0))</f>
        <v>400</v>
      </c>
      <c r="M49" s="20" t="s">
        <v>106</v>
      </c>
      <c r="N49" s="46">
        <f>N20</f>
        <v>0</v>
      </c>
      <c r="O49" s="19" t="str">
        <f>O20</f>
        <v>MVA</v>
      </c>
      <c r="P49" s="57">
        <f>L49*N49</f>
        <v>0</v>
      </c>
    </row>
    <row r="50" spans="1:16" x14ac:dyDescent="0.2">
      <c r="A50" s="22" t="s">
        <v>107</v>
      </c>
      <c r="B50" s="23"/>
      <c r="C50" s="23"/>
      <c r="D50" s="23"/>
      <c r="E50" s="23"/>
      <c r="F50" s="24"/>
      <c r="G50" s="23"/>
      <c r="H50" s="49"/>
      <c r="I50" s="23"/>
      <c r="J50" s="60">
        <f>SUM(J39:J49)</f>
        <v>6353886.6159028998</v>
      </c>
      <c r="L50" s="154" t="s">
        <v>107</v>
      </c>
      <c r="M50" s="23"/>
      <c r="N50" s="49"/>
      <c r="O50" s="23"/>
      <c r="P50" s="60">
        <f>SUM(P39:P49)</f>
        <v>6713092.7792382156</v>
      </c>
    </row>
    <row r="51" spans="1:16" ht="9" customHeight="1" x14ac:dyDescent="0.2">
      <c r="J51" s="7"/>
      <c r="P51" s="7"/>
    </row>
    <row r="52" spans="1:16" x14ac:dyDescent="0.2">
      <c r="A52" s="28" t="s">
        <v>108</v>
      </c>
      <c r="B52" s="29"/>
      <c r="C52" s="29"/>
      <c r="D52" s="29"/>
      <c r="E52" s="29"/>
      <c r="F52" s="30"/>
      <c r="G52" s="29"/>
      <c r="H52" s="43"/>
      <c r="I52" s="29"/>
      <c r="J52" s="53"/>
      <c r="L52" s="115"/>
      <c r="M52" s="32"/>
      <c r="N52" s="45"/>
      <c r="O52" s="32"/>
      <c r="P52" s="56"/>
    </row>
    <row r="53" spans="1:16" x14ac:dyDescent="0.2">
      <c r="A53" s="152"/>
      <c r="B53" t="s">
        <v>85</v>
      </c>
      <c r="F53" s="194">
        <f>INDEX(Lookup!$C$13:$Z$13,1,MATCH($J$6,Lookup!$C$1:$Z$1,0))</f>
        <v>-8910</v>
      </c>
      <c r="G53" s="16" t="s">
        <v>86</v>
      </c>
      <c r="H53" s="39">
        <f>H12</f>
        <v>1</v>
      </c>
      <c r="J53" s="54">
        <f>IF(H$13="No",0,F53*H53)*12</f>
        <v>0</v>
      </c>
      <c r="L53" s="195">
        <f>INDEX(Lookup!$C$13:$Z$13,1,MATCH($P$6,Lookup!$C$1:$Z$1,0))</f>
        <v>-8910</v>
      </c>
      <c r="M53" s="16" t="s">
        <v>86</v>
      </c>
      <c r="N53" s="39">
        <f>N12</f>
        <v>1</v>
      </c>
      <c r="P53" s="54">
        <f>IF($N$13="No",0,L53*N53*12)</f>
        <v>0</v>
      </c>
    </row>
    <row r="54" spans="1:16" x14ac:dyDescent="0.2">
      <c r="A54" s="152"/>
      <c r="B54" t="s">
        <v>88</v>
      </c>
      <c r="F54" s="194">
        <f>INDEX(Lookup!$C$14:$Z$14,1,MATCH($J$6,Lookup!$C$1:$Z$1,0))</f>
        <v>-3607</v>
      </c>
      <c r="G54" s="16" t="s">
        <v>78</v>
      </c>
      <c r="H54" s="37">
        <f>H35</f>
        <v>7.5</v>
      </c>
      <c r="I54" t="str">
        <f>I32</f>
        <v>MWh</v>
      </c>
      <c r="J54" s="54">
        <f>IF(H$13="No",0,F54*H54)*12</f>
        <v>0</v>
      </c>
      <c r="L54" s="195">
        <f>INDEX(Lookup!$C$14:$Z$14,1,MATCH($P$6,Lookup!$C$1:$Z$1,0))</f>
        <v>-3607</v>
      </c>
      <c r="M54" s="16" t="s">
        <v>78</v>
      </c>
      <c r="N54" s="37">
        <f>N35</f>
        <v>7.5</v>
      </c>
      <c r="O54" t="str">
        <f>O32</f>
        <v>MWh</v>
      </c>
      <c r="P54" s="54">
        <f>IF($N$13="No",0,L54*N54*12)</f>
        <v>0</v>
      </c>
    </row>
    <row r="55" spans="1:16" x14ac:dyDescent="0.2">
      <c r="A55" s="152"/>
      <c r="B55" t="s">
        <v>90</v>
      </c>
      <c r="F55" s="194">
        <f>INDEX(Lookup!$C$15:$Z$15,1,MATCH($J$6,Lookup!$C$1:$Z$1,0))</f>
        <v>-2259</v>
      </c>
      <c r="G55" s="16" t="s">
        <v>78</v>
      </c>
      <c r="H55" s="37">
        <f>H36</f>
        <v>9.5</v>
      </c>
      <c r="I55" t="str">
        <f>I32</f>
        <v>MWh</v>
      </c>
      <c r="J55" s="54">
        <f>IF(H$13="No",0,F55*H55)*12</f>
        <v>0</v>
      </c>
      <c r="L55" s="195">
        <f>INDEX(Lookup!$C$15:$Z$15,1,MATCH($P$6,Lookup!$C$1:$Z$1,0))</f>
        <v>-2259</v>
      </c>
      <c r="M55" s="16" t="s">
        <v>78</v>
      </c>
      <c r="N55" s="37">
        <f>N36</f>
        <v>9.5</v>
      </c>
      <c r="O55" t="str">
        <f>O32</f>
        <v>MWh</v>
      </c>
      <c r="P55" s="54">
        <f>IF($N$13="No",0,L55*N55*12)</f>
        <v>0</v>
      </c>
    </row>
    <row r="56" spans="1:16" x14ac:dyDescent="0.2">
      <c r="A56" s="152"/>
      <c r="B56" t="s">
        <v>92</v>
      </c>
      <c r="F56" s="194">
        <f>INDEX(Lookup!$C$16:$Z$16,1,MATCH($J$6,Lookup!$C$1:$Z$1,0))</f>
        <v>-1576</v>
      </c>
      <c r="G56" s="16" t="s">
        <v>78</v>
      </c>
      <c r="H56" s="37">
        <f>H37</f>
        <v>22.060000000000002</v>
      </c>
      <c r="I56" t="str">
        <f>I32</f>
        <v>MWh</v>
      </c>
      <c r="J56" s="54">
        <f>IF(H$13="No",0,F56*H56)*12</f>
        <v>0</v>
      </c>
      <c r="L56" s="195">
        <f>INDEX(Lookup!$C$16:$Z$16,1,MATCH($P$6,Lookup!$C$1:$Z$1,0))</f>
        <v>-1576</v>
      </c>
      <c r="M56" s="16" t="s">
        <v>78</v>
      </c>
      <c r="N56" s="37">
        <f>N37</f>
        <v>22.059999999999995</v>
      </c>
      <c r="O56" t="str">
        <f>O32</f>
        <v>MWh</v>
      </c>
      <c r="P56" s="54">
        <f>IF($N$13="No",0,L56*N56*12)</f>
        <v>0</v>
      </c>
    </row>
    <row r="57" spans="1:16" x14ac:dyDescent="0.2">
      <c r="A57" s="153"/>
      <c r="B57" s="19" t="s">
        <v>94</v>
      </c>
      <c r="C57" s="19"/>
      <c r="D57" s="19"/>
      <c r="E57" s="19"/>
      <c r="F57" s="194">
        <f>INDEX(Lookup!$C$17:$Z$17,1,MATCH($J$6,Lookup!$C$1:$Z$1,0))</f>
        <v>-1292</v>
      </c>
      <c r="G57" s="20" t="s">
        <v>78</v>
      </c>
      <c r="H57" s="46">
        <f>H38</f>
        <v>0</v>
      </c>
      <c r="I57" s="19" t="str">
        <f>I32</f>
        <v>MWh</v>
      </c>
      <c r="J57" s="57">
        <f>IF(H$13="No",0,F57*H57)*12</f>
        <v>0</v>
      </c>
      <c r="L57" s="196">
        <f>INDEX(Lookup!$C$17:$Z$17,1,MATCH($P$6,Lookup!$C$1:$Z$1,0))</f>
        <v>-1292</v>
      </c>
      <c r="M57" s="20" t="s">
        <v>78</v>
      </c>
      <c r="N57" s="46">
        <f>N38</f>
        <v>0</v>
      </c>
      <c r="O57" s="19" t="str">
        <f>O32</f>
        <v>MWh</v>
      </c>
      <c r="P57" s="57">
        <f>IF($N$13="No",0,L57*N57*12)</f>
        <v>0</v>
      </c>
    </row>
    <row r="58" spans="1:16" x14ac:dyDescent="0.2">
      <c r="A58" s="22" t="s">
        <v>109</v>
      </c>
      <c r="B58" s="23"/>
      <c r="C58" s="23"/>
      <c r="D58" s="23"/>
      <c r="E58" s="23"/>
      <c r="F58" s="24"/>
      <c r="G58" s="23"/>
      <c r="H58" s="49"/>
      <c r="I58" s="23"/>
      <c r="J58" s="60">
        <f>SUM(J53:J57)</f>
        <v>0</v>
      </c>
      <c r="L58" s="154" t="s">
        <v>109</v>
      </c>
      <c r="M58" s="23"/>
      <c r="N58" s="49"/>
      <c r="O58" s="23"/>
      <c r="P58" s="60">
        <f>SUM(P53:P57)</f>
        <v>0</v>
      </c>
    </row>
    <row r="59" spans="1:16" ht="9" customHeight="1" x14ac:dyDescent="0.2">
      <c r="J59" s="7"/>
      <c r="P59" s="7"/>
    </row>
    <row r="60" spans="1:16" x14ac:dyDescent="0.2">
      <c r="A60" s="22" t="s">
        <v>110</v>
      </c>
      <c r="B60" s="23"/>
      <c r="C60" s="23"/>
      <c r="D60" s="23"/>
      <c r="E60" s="23"/>
      <c r="F60" s="24"/>
      <c r="G60" s="23"/>
      <c r="H60" s="49"/>
      <c r="I60" s="23"/>
      <c r="J60" s="60">
        <f>SUM(J50,J58)</f>
        <v>6353886.6159028998</v>
      </c>
      <c r="L60" s="221" t="s">
        <v>110</v>
      </c>
      <c r="M60" s="222"/>
      <c r="N60" s="223"/>
      <c r="O60" s="222"/>
      <c r="P60" s="224">
        <f>SUM(P50,P58)</f>
        <v>6713092.7792382156</v>
      </c>
    </row>
    <row r="61" spans="1:16" ht="12.75" customHeight="1" x14ac:dyDescent="0.2">
      <c r="J61" s="7"/>
      <c r="L61" s="225" t="s">
        <v>111</v>
      </c>
      <c r="M61" s="226"/>
      <c r="N61" s="226"/>
      <c r="O61" s="226"/>
      <c r="P61" s="227">
        <f>P60/J60-1</f>
        <v>5.6533297656944814E-2</v>
      </c>
    </row>
    <row r="62" spans="1:16" ht="9" customHeight="1" x14ac:dyDescent="0.2">
      <c r="J62" s="7"/>
      <c r="P62" s="7"/>
    </row>
    <row r="63" spans="1:16" x14ac:dyDescent="0.2">
      <c r="A63" s="22" t="s">
        <v>112</v>
      </c>
      <c r="B63" s="23"/>
      <c r="C63" s="23"/>
      <c r="D63" s="23"/>
      <c r="E63" s="23"/>
      <c r="F63" s="27"/>
      <c r="G63" s="23"/>
      <c r="H63" s="26"/>
      <c r="I63" s="23"/>
      <c r="J63" s="60">
        <f>INDEX('Site Data Input'!$M$2:$M$6,MATCH($P$7,'Site Data Input'!$A$2:$A$6),1)</f>
        <v>10756893.107582698</v>
      </c>
      <c r="L63" s="214" t="s">
        <v>112</v>
      </c>
      <c r="M63" s="215"/>
      <c r="N63" s="216">
        <f>N32</f>
        <v>207359.75078765914</v>
      </c>
      <c r="O63" s="217" t="s">
        <v>56</v>
      </c>
      <c r="P63" s="218">
        <f>N63*$N$21</f>
        <v>10756893.107582698</v>
      </c>
    </row>
    <row r="64" spans="1:16" ht="9" customHeight="1" x14ac:dyDescent="0.2">
      <c r="J64" s="7"/>
      <c r="P64" s="7"/>
    </row>
    <row r="65" spans="1:16" x14ac:dyDescent="0.2">
      <c r="A65" s="5" t="s">
        <v>113</v>
      </c>
      <c r="B65" s="5"/>
      <c r="C65" s="5"/>
      <c r="D65" s="5"/>
      <c r="E65" s="5"/>
      <c r="F65" s="5"/>
      <c r="G65" s="5"/>
      <c r="H65" s="5"/>
      <c r="I65" s="5"/>
      <c r="J65" s="61">
        <f>SUM(J60,J63)</f>
        <v>17110779.723485596</v>
      </c>
      <c r="L65" s="5" t="s">
        <v>113</v>
      </c>
      <c r="M65" s="5"/>
      <c r="N65" s="5"/>
      <c r="O65" s="5"/>
      <c r="P65" s="61">
        <f>SUM(P60,P63)</f>
        <v>17469985.886820912</v>
      </c>
    </row>
    <row r="66" spans="1:16" ht="12.75" customHeight="1" x14ac:dyDescent="0.2">
      <c r="J66" s="7"/>
      <c r="L66" s="209" t="s">
        <v>114</v>
      </c>
      <c r="M66" s="210"/>
      <c r="N66" s="210"/>
      <c r="O66" s="210"/>
      <c r="P66" s="211">
        <f>P65/J65-1</f>
        <v>2.0992974554063348E-2</v>
      </c>
    </row>
  </sheetData>
  <mergeCells count="13">
    <mergeCell ref="N11:O11"/>
    <mergeCell ref="A25:J25"/>
    <mergeCell ref="C1:H1"/>
    <mergeCell ref="C2:H2"/>
    <mergeCell ref="C3:H3"/>
    <mergeCell ref="C4:E4"/>
    <mergeCell ref="H11:I11"/>
    <mergeCell ref="A24:E24"/>
    <mergeCell ref="F24:G24"/>
    <mergeCell ref="H24:I24"/>
    <mergeCell ref="L24:M24"/>
    <mergeCell ref="N24:O24"/>
    <mergeCell ref="L10:M10"/>
  </mergeCells>
  <conditionalFormatting sqref="A52:J52 A53:E57 G53:J57">
    <cfRule type="expression" dxfId="30" priority="7">
      <formula>$H$13="No"</formula>
    </cfRule>
  </conditionalFormatting>
  <conditionalFormatting sqref="L52:P52 M53:P57">
    <cfRule type="expression" dxfId="29" priority="6">
      <formula>$N$13="No"</formula>
    </cfRule>
  </conditionalFormatting>
  <conditionalFormatting sqref="L53">
    <cfRule type="expression" dxfId="28" priority="5">
      <formula>$H$13="No"</formula>
    </cfRule>
  </conditionalFormatting>
  <conditionalFormatting sqref="L54:L57">
    <cfRule type="expression" dxfId="27" priority="4">
      <formula>$H$13="No"</formula>
    </cfRule>
  </conditionalFormatting>
  <conditionalFormatting sqref="F53:F57">
    <cfRule type="expression" dxfId="26" priority="3">
      <formula>$H$13="No"</formula>
    </cfRule>
  </conditionalFormatting>
  <conditionalFormatting sqref="M17">
    <cfRule type="expression" dxfId="25" priority="2">
      <formula>$L$17&gt;0</formula>
    </cfRule>
  </conditionalFormatting>
  <conditionalFormatting sqref="L17">
    <cfRule type="expression" dxfId="24" priority="1">
      <formula>$M$17&gt;0</formula>
    </cfRule>
  </conditionalFormatting>
  <dataValidations count="13">
    <dataValidation allowBlank="1" showInputMessage="1" sqref="C4:F4 C1:H3 L9 N6:N8 O6:P6" xr:uid="{ABF17287-0030-4FC4-9A3E-9F201D6831F2}"/>
    <dataValidation allowBlank="1" showErrorMessage="1" sqref="M18:M20 M12:M13 H13" xr:uid="{DD70ED01-A8ED-4532-86EA-CA5FAC17FEB1}"/>
    <dataValidation allowBlank="1" showInputMessage="1" showErrorMessage="1" promptTitle="Reference" prompt="For more information, see the definition of billing capacity in the Consolidated Authoritative Documents Glossary." sqref="G17" xr:uid="{622CE35F-D175-4AA4-9FE0-78CACED05C54}"/>
    <dataValidation allowBlank="1" showInputMessage="1" showErrorMessage="1" promptTitle="Reference" prompt="For more information, see subsection 7(b) of Rate DTS: Demand Transmission Service in the ISO tariff." sqref="G20" xr:uid="{4913B3AB-24EE-4356-8510-E631DDF5F4A5}"/>
    <dataValidation allowBlank="1" showInputMessage="1" showErrorMessage="1" promptTitle="Reference" prompt="For more information, see the definition of pool price in the Consolidated Authoritative Documents Glossary." sqref="M21" xr:uid="{25A0E591-8201-4F21-97FC-474C3059FE23}"/>
    <dataValidation allowBlank="1" showInputMessage="1" showErrorMessage="1" promptTitle="Reference" prompt="For more information, see subsection 4(2) of Rate DTS: Demand Transmission Service in the ISO tariff." sqref="M22 G19" xr:uid="{1881EBAC-345B-4E42-A3EA-5D6EF8341CFD}"/>
    <dataValidation allowBlank="1" showInputMessage="1" showErrorMessage="1" promptTitle="Reference" prompt="Input override monthly HMD amount in MWs" sqref="M14" xr:uid="{E4048280-9BBC-4A92-A3D7-61F9F2A5DEBF}"/>
    <dataValidation allowBlank="1" showInputMessage="1" showErrorMessage="1" promptTitle="Reference" prompt="Input override with expected average coincident metered demand monthly MWs (based on 5-year expected monthly coincident metered demand)" sqref="M15" xr:uid="{0C8DC239-DDA9-4C91-B677-D565D2C3D467}"/>
    <dataValidation allowBlank="1" showInputMessage="1" showErrorMessage="1" promptTitle="Reference" prompt="Input overide contract capacity (MW) amount" sqref="M16" xr:uid="{BBE1B836-DD64-42EE-AB34-692E708B33E6}"/>
    <dataValidation allowBlank="1" showInputMessage="1" showErrorMessage="1" promptTitle="Reference" prompt="(1) Input override LF % amount" sqref="L17" xr:uid="{6B84EA8B-10D0-4B93-B1AB-1FDE64D345E3}"/>
    <dataValidation allowBlank="1" showInputMessage="1" showErrorMessage="1" promptTitle="Reference" prompt="If LF% override is blank, enter override monthly energy (MWh)" sqref="M17" xr:uid="{B03F9466-6AE0-4153-9AEE-76CBBA87389D}"/>
    <dataValidation allowBlank="1" showInputMessage="1" showErrorMessage="1" promptTitle="Reference" prompt="Billing Capacity is the maximum of HMD, 90% of Contract Capacity, 90% of HMD in last 24 months). For the purposes of this annual calculation, HMD in last 24 months is assumed to equal HMD for this annual period." sqref="N18" xr:uid="{078BB285-2C9E-4032-8274-1D91EACA2BB8}"/>
    <dataValidation allowBlank="1" showErrorMessage="1" promptTitle="Reference" prompt="For more information, see the definition of metered demand in the Consolidated Authoritative Documents Glossary." sqref="G12:G22" xr:uid="{CB457A98-DB27-4996-8BE2-2227D291BB3B}"/>
  </dataValidations>
  <printOptions horizontalCentered="1"/>
  <pageMargins left="0.25" right="0.25" top="0.5" bottom="0.5" header="0.3" footer="0.3"/>
  <pageSetup scale="81" orientation="portrait" r:id="rId1"/>
  <headerFooter alignWithMargins="0">
    <oddFooter>&amp;L&amp;8Attachment to Bill Estimator for 2021 Tariff (AESO ID #2021-015T)
Filename: &amp;F — Page&amp;P of &amp;N&amp;R&amp;8Confidentiality: Proprietary When Completed</oddFooter>
  </headerFooter>
  <extLst>
    <ext xmlns:x14="http://schemas.microsoft.com/office/spreadsheetml/2009/9/main" uri="{CCE6A557-97BC-4b89-ADB6-D9C93CAAB3DF}">
      <x14:dataValidations xmlns:xm="http://schemas.microsoft.com/office/excel/2006/main" count="1">
        <x14:dataValidation type="list" allowBlank="1" showInputMessage="1" xr:uid="{94B5F9E6-22DA-453B-833B-70F0FFD46AFB}">
          <x14:formula1>
            <xm:f>'Site Data Input'!$A$2:$A$6</xm:f>
          </x14:formula1>
          <xm:sqref>P7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A3476-C68E-4CF1-B51B-0FD3652D3C6A}">
  <sheetPr>
    <tabColor theme="8" tint="0.59999389629810485"/>
  </sheetPr>
  <dimension ref="A1:R12"/>
  <sheetViews>
    <sheetView zoomScaleNormal="100" workbookViewId="0">
      <selection activeCell="A2" sqref="A2:R6"/>
    </sheetView>
  </sheetViews>
  <sheetFormatPr defaultRowHeight="12.75" x14ac:dyDescent="0.2"/>
  <cols>
    <col min="2" max="2" width="20.28515625" customWidth="1"/>
    <col min="3" max="3" width="27.85546875" customWidth="1"/>
    <col min="4" max="4" width="13.140625" customWidth="1"/>
    <col min="5" max="5" width="22.140625" bestFit="1" customWidth="1"/>
    <col min="6" max="7" width="18.85546875" customWidth="1"/>
    <col min="8" max="8" width="15.7109375" customWidth="1"/>
    <col min="10" max="10" width="19" customWidth="1"/>
    <col min="11" max="11" width="12.5703125" customWidth="1"/>
    <col min="12" max="12" width="17.5703125" customWidth="1"/>
    <col min="13" max="18" width="14.5703125" customWidth="1"/>
  </cols>
  <sheetData>
    <row r="1" spans="1:18" ht="63.75" customHeight="1" x14ac:dyDescent="0.2">
      <c r="A1" s="197" t="s">
        <v>115</v>
      </c>
      <c r="B1" s="197" t="s">
        <v>116</v>
      </c>
      <c r="C1" s="197" t="s">
        <v>117</v>
      </c>
      <c r="D1" s="197" t="s">
        <v>118</v>
      </c>
      <c r="E1" s="197" t="s">
        <v>119</v>
      </c>
      <c r="F1" s="197" t="s">
        <v>168</v>
      </c>
      <c r="G1" s="198" t="s">
        <v>120</v>
      </c>
      <c r="H1" s="198" t="s">
        <v>121</v>
      </c>
      <c r="I1" s="198" t="s">
        <v>122</v>
      </c>
      <c r="J1" s="198" t="s">
        <v>123</v>
      </c>
      <c r="K1" s="198" t="s">
        <v>124</v>
      </c>
      <c r="L1" s="198" t="s">
        <v>125</v>
      </c>
      <c r="M1" s="198" t="s">
        <v>169</v>
      </c>
      <c r="N1" s="198" t="s">
        <v>170</v>
      </c>
      <c r="O1" s="198" t="s">
        <v>171</v>
      </c>
      <c r="P1" s="198" t="s">
        <v>172</v>
      </c>
      <c r="Q1" s="198" t="s">
        <v>173</v>
      </c>
      <c r="R1" s="198" t="s">
        <v>174</v>
      </c>
    </row>
    <row r="2" spans="1:18" x14ac:dyDescent="0.2">
      <c r="A2" s="199">
        <v>2016</v>
      </c>
      <c r="B2" s="200" t="s">
        <v>191</v>
      </c>
      <c r="C2" s="200" t="s">
        <v>192</v>
      </c>
      <c r="D2" s="200" t="s">
        <v>193</v>
      </c>
      <c r="E2" s="201">
        <v>1</v>
      </c>
      <c r="F2" s="202" t="s">
        <v>194</v>
      </c>
      <c r="G2" s="203">
        <v>43.4</v>
      </c>
      <c r="H2" s="203">
        <v>237024.77118571504</v>
      </c>
      <c r="I2" s="203">
        <v>299.69447043256997</v>
      </c>
      <c r="J2" s="203">
        <v>468.71999999999997</v>
      </c>
      <c r="K2" s="203">
        <v>33.594329893129768</v>
      </c>
      <c r="L2" s="203">
        <v>358.05733272264627</v>
      </c>
      <c r="M2" s="204">
        <v>4341870.7719083978</v>
      </c>
      <c r="N2" s="204">
        <v>416880.25</v>
      </c>
      <c r="O2" s="204">
        <v>27.66</v>
      </c>
      <c r="P2" s="204">
        <v>12370.765686859999</v>
      </c>
      <c r="Q2" s="204">
        <v>14538.538540000001</v>
      </c>
      <c r="R2" s="204">
        <v>0</v>
      </c>
    </row>
    <row r="3" spans="1:18" x14ac:dyDescent="0.2">
      <c r="A3" s="199">
        <v>2017</v>
      </c>
      <c r="B3" s="200" t="s">
        <v>191</v>
      </c>
      <c r="C3" s="200" t="s">
        <v>192</v>
      </c>
      <c r="D3" s="200" t="s">
        <v>193</v>
      </c>
      <c r="E3" s="201">
        <v>1</v>
      </c>
      <c r="F3" s="202" t="s">
        <v>194</v>
      </c>
      <c r="G3" s="203">
        <v>43.4</v>
      </c>
      <c r="H3" s="203">
        <v>261944.01891174557</v>
      </c>
      <c r="I3" s="203">
        <v>315.48437107379135</v>
      </c>
      <c r="J3" s="203">
        <v>468.71999999999997</v>
      </c>
      <c r="K3" s="203">
        <v>37.976245679389308</v>
      </c>
      <c r="L3" s="203">
        <v>396.88662141475817</v>
      </c>
      <c r="M3" s="204">
        <v>5762209.6623409661</v>
      </c>
      <c r="N3" s="204">
        <v>530156.34</v>
      </c>
      <c r="O3" s="204">
        <v>47.499999999999993</v>
      </c>
      <c r="P3" s="204">
        <v>16603.870876180004</v>
      </c>
      <c r="Q3" s="204">
        <v>16297.281304</v>
      </c>
      <c r="R3" s="204">
        <v>0</v>
      </c>
    </row>
    <row r="4" spans="1:18" x14ac:dyDescent="0.2">
      <c r="A4" s="199">
        <v>2018</v>
      </c>
      <c r="B4" s="200" t="s">
        <v>191</v>
      </c>
      <c r="C4" s="200" t="s">
        <v>192</v>
      </c>
      <c r="D4" s="200" t="s">
        <v>193</v>
      </c>
      <c r="E4" s="201">
        <v>1</v>
      </c>
      <c r="F4" s="202" t="s">
        <v>194</v>
      </c>
      <c r="G4" s="203">
        <v>43.4</v>
      </c>
      <c r="H4" s="203">
        <v>251907.24302190845</v>
      </c>
      <c r="I4" s="203">
        <v>321.45068061068702</v>
      </c>
      <c r="J4" s="203">
        <v>468.71999999999997</v>
      </c>
      <c r="K4" s="203">
        <v>35.120123704834604</v>
      </c>
      <c r="L4" s="203">
        <v>390.16283721119589</v>
      </c>
      <c r="M4" s="204">
        <v>12043433.431246819</v>
      </c>
      <c r="N4" s="204">
        <v>1201944.47</v>
      </c>
      <c r="O4" s="204">
        <v>123.77000000000001</v>
      </c>
      <c r="P4" s="204">
        <v>20529.859874850001</v>
      </c>
      <c r="Q4" s="204">
        <v>16251.990256000003</v>
      </c>
      <c r="R4" s="204">
        <v>0</v>
      </c>
    </row>
    <row r="5" spans="1:18" x14ac:dyDescent="0.2">
      <c r="A5" s="199">
        <v>2019</v>
      </c>
      <c r="B5" s="200" t="s">
        <v>191</v>
      </c>
      <c r="C5" s="200" t="s">
        <v>192</v>
      </c>
      <c r="D5" s="200" t="s">
        <v>193</v>
      </c>
      <c r="E5" s="201">
        <v>1</v>
      </c>
      <c r="F5" s="202" t="s">
        <v>194</v>
      </c>
      <c r="G5" s="203">
        <v>43.4</v>
      </c>
      <c r="H5" s="203">
        <v>207359.75078765914</v>
      </c>
      <c r="I5" s="203">
        <v>246.99782821374046</v>
      </c>
      <c r="J5" s="203">
        <v>468.71999999999997</v>
      </c>
      <c r="K5" s="203">
        <v>33.20381823918575</v>
      </c>
      <c r="L5" s="203">
        <v>337.07003802544523</v>
      </c>
      <c r="M5" s="204">
        <v>10756893.107582698</v>
      </c>
      <c r="N5" s="204">
        <v>733732.94</v>
      </c>
      <c r="O5" s="204">
        <v>720.77</v>
      </c>
      <c r="P5" s="204">
        <v>9388.5232787500008</v>
      </c>
      <c r="Q5" s="204">
        <v>10988.172576000001</v>
      </c>
      <c r="R5" s="204">
        <v>0</v>
      </c>
    </row>
    <row r="6" spans="1:18" x14ac:dyDescent="0.2">
      <c r="A6" s="199">
        <v>2020</v>
      </c>
      <c r="B6" s="200" t="s">
        <v>191</v>
      </c>
      <c r="C6" s="200" t="s">
        <v>192</v>
      </c>
      <c r="D6" s="200" t="s">
        <v>193</v>
      </c>
      <c r="E6" s="201">
        <v>1</v>
      </c>
      <c r="F6" s="202" t="s">
        <v>194</v>
      </c>
      <c r="G6" s="203">
        <v>43.4</v>
      </c>
      <c r="H6" s="203">
        <v>199592.55938932311</v>
      </c>
      <c r="I6" s="203">
        <v>214.29862939440204</v>
      </c>
      <c r="J6" s="203">
        <v>468.71999999999997</v>
      </c>
      <c r="K6" s="203">
        <v>29.268425506361325</v>
      </c>
      <c r="L6" s="203">
        <v>315.56579963358774</v>
      </c>
      <c r="M6" s="204">
        <v>8961157.1598473284</v>
      </c>
      <c r="N6" s="204">
        <v>611540.37</v>
      </c>
      <c r="O6" s="204">
        <v>1238.8500000000001</v>
      </c>
      <c r="P6" s="204">
        <v>9036.8520553000035</v>
      </c>
      <c r="Q6" s="204">
        <v>10287.154223999998</v>
      </c>
      <c r="R6" s="204">
        <v>0</v>
      </c>
    </row>
    <row r="8" spans="1:18" x14ac:dyDescent="0.2">
      <c r="A8" s="200" t="s">
        <v>152</v>
      </c>
      <c r="B8" s="200"/>
      <c r="C8" s="205"/>
      <c r="D8" s="205"/>
      <c r="M8" s="254"/>
    </row>
    <row r="9" spans="1:18" x14ac:dyDescent="0.2">
      <c r="M9" s="254"/>
    </row>
    <row r="10" spans="1:18" x14ac:dyDescent="0.2">
      <c r="M10" s="254"/>
    </row>
    <row r="11" spans="1:18" x14ac:dyDescent="0.2">
      <c r="M11" s="254"/>
    </row>
    <row r="12" spans="1:18" x14ac:dyDescent="0.2">
      <c r="M12" s="254"/>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FAEF7-9380-4CBC-A6D5-9B0B55A6AC7A}">
  <sheetPr>
    <pageSetUpPr fitToPage="1"/>
  </sheetPr>
  <dimension ref="A1:P66"/>
  <sheetViews>
    <sheetView showGridLines="0" zoomScale="85" zoomScaleNormal="85" workbookViewId="0">
      <selection activeCell="H22" sqref="H22"/>
    </sheetView>
  </sheetViews>
  <sheetFormatPr defaultColWidth="9.5703125" defaultRowHeight="12.75" x14ac:dyDescent="0.2"/>
  <cols>
    <col min="1" max="1" width="7.42578125" customWidth="1"/>
    <col min="2" max="2" width="8.42578125" customWidth="1"/>
    <col min="3" max="3" width="26.5703125" customWidth="1"/>
    <col min="4" max="4" width="8.5703125" customWidth="1"/>
    <col min="5" max="6" width="10.5703125" customWidth="1"/>
    <col min="7" max="7" width="15.7109375" customWidth="1"/>
    <col min="8" max="9" width="10.42578125" customWidth="1"/>
    <col min="10" max="10" width="15.7109375" customWidth="1"/>
    <col min="12" max="12" width="10.5703125" customWidth="1"/>
    <col min="13" max="13" width="17.28515625" customWidth="1"/>
    <col min="14" max="15" width="10.42578125" customWidth="1"/>
    <col min="16" max="16" width="15.140625" customWidth="1"/>
  </cols>
  <sheetData>
    <row r="1" spans="1:16" ht="18.75" x14ac:dyDescent="0.4">
      <c r="A1" s="41" t="s">
        <v>20</v>
      </c>
      <c r="C1" s="266" t="str">
        <f>ParticipantName</f>
        <v>DFO</v>
      </c>
      <c r="D1" s="266"/>
      <c r="E1" s="266"/>
      <c r="F1" s="266"/>
      <c r="G1" s="266"/>
      <c r="H1" s="266"/>
      <c r="L1" s="160" t="s">
        <v>111</v>
      </c>
      <c r="M1" s="160"/>
      <c r="N1" s="160"/>
      <c r="O1" s="160"/>
      <c r="P1" s="146">
        <f>$P$61</f>
        <v>7.3302852370670246E-2</v>
      </c>
    </row>
    <row r="2" spans="1:16" x14ac:dyDescent="0.2">
      <c r="A2" s="41" t="s">
        <v>21</v>
      </c>
      <c r="C2" s="266" t="str">
        <f>SiteDescription</f>
        <v>Sample Site</v>
      </c>
      <c r="D2" s="266"/>
      <c r="E2" s="266"/>
      <c r="F2" s="266"/>
      <c r="G2" s="266"/>
      <c r="H2" s="266"/>
    </row>
    <row r="3" spans="1:16" x14ac:dyDescent="0.2">
      <c r="A3" t="s">
        <v>34</v>
      </c>
      <c r="C3" s="266" t="str">
        <f>AccountID</f>
        <v>1000XXXXX</v>
      </c>
      <c r="D3" s="266"/>
      <c r="E3" s="266"/>
      <c r="F3" s="266"/>
      <c r="G3" s="266"/>
      <c r="H3" s="266"/>
    </row>
    <row r="4" spans="1:16" x14ac:dyDescent="0.2">
      <c r="A4" t="s">
        <v>23</v>
      </c>
      <c r="C4" s="269">
        <f ca="1">TODAY()</f>
        <v>44292</v>
      </c>
      <c r="D4" s="269"/>
      <c r="E4" s="269"/>
      <c r="F4" s="41"/>
      <c r="G4" s="34"/>
      <c r="H4" s="35"/>
    </row>
    <row r="5" spans="1:16" s="4" customFormat="1" ht="7.15" customHeight="1" x14ac:dyDescent="0.15"/>
    <row r="6" spans="1:16" x14ac:dyDescent="0.2">
      <c r="I6" s="36" t="s">
        <v>35</v>
      </c>
      <c r="J6" s="106" t="s">
        <v>36</v>
      </c>
      <c r="O6" s="36" t="s">
        <v>35</v>
      </c>
      <c r="P6" s="106" t="s">
        <v>37</v>
      </c>
    </row>
    <row r="7" spans="1:16" ht="15.75" x14ac:dyDescent="0.25">
      <c r="I7" s="112"/>
      <c r="O7" s="142" t="s">
        <v>38</v>
      </c>
      <c r="P7" s="108">
        <v>2020</v>
      </c>
    </row>
    <row r="9" spans="1:16" x14ac:dyDescent="0.2">
      <c r="I9" s="36"/>
      <c r="J9" s="107"/>
      <c r="L9" s="41"/>
      <c r="M9" s="34"/>
      <c r="N9" s="35"/>
      <c r="O9" s="36"/>
      <c r="P9" s="107"/>
    </row>
    <row r="10" spans="1:16" x14ac:dyDescent="0.2">
      <c r="J10" s="8"/>
      <c r="M10" s="41"/>
      <c r="P10" s="8"/>
    </row>
    <row r="11" spans="1:16" x14ac:dyDescent="0.2">
      <c r="B11" s="6" t="s">
        <v>39</v>
      </c>
      <c r="C11" s="6"/>
      <c r="D11" s="6"/>
      <c r="E11" s="6"/>
      <c r="F11" s="6" t="s">
        <v>40</v>
      </c>
      <c r="G11" s="6" t="s">
        <v>41</v>
      </c>
      <c r="H11" s="262" t="s">
        <v>146</v>
      </c>
      <c r="I11" s="262"/>
      <c r="K11" s="6"/>
      <c r="L11" s="6"/>
      <c r="M11" s="6" t="s">
        <v>41</v>
      </c>
      <c r="N11" s="262" t="s">
        <v>146</v>
      </c>
      <c r="O11" s="262"/>
    </row>
    <row r="12" spans="1:16" x14ac:dyDescent="0.2">
      <c r="B12" s="112" t="s">
        <v>43</v>
      </c>
      <c r="C12" t="s">
        <v>44</v>
      </c>
      <c r="G12" s="8"/>
      <c r="H12" s="39">
        <f>INDEX('Site Data Input'!$E$2:$E$6,MATCH($P$7,'Site Data Input'!$A$2:$A$6),1)</f>
        <v>1</v>
      </c>
      <c r="M12" s="8"/>
      <c r="N12" s="39">
        <f t="shared" ref="N12:N22" si="0">H12</f>
        <v>1</v>
      </c>
    </row>
    <row r="13" spans="1:16" x14ac:dyDescent="0.2">
      <c r="B13" s="112" t="s">
        <v>45</v>
      </c>
      <c r="C13" s="41" t="s">
        <v>46</v>
      </c>
      <c r="G13" s="8"/>
      <c r="H13" s="125" t="str">
        <f>INDEX('Site Data Input'!$F$2:$F$6,MATCH($P$7,'Site Data Input'!$A$2:$A$6),1)</f>
        <v>No</v>
      </c>
      <c r="M13" s="8"/>
      <c r="N13" s="39" t="str">
        <f t="shared" si="0"/>
        <v>No</v>
      </c>
    </row>
    <row r="14" spans="1:16" x14ac:dyDescent="0.2">
      <c r="B14" s="112" t="s">
        <v>47</v>
      </c>
      <c r="C14" t="s">
        <v>48</v>
      </c>
      <c r="G14" s="37">
        <f>INDEX('Site Data Input'!$L$2:$L$6,MATCH($P$7,'Site Data Input'!$A$2:$A$6),1)/12</f>
        <v>26.297149969465647</v>
      </c>
      <c r="H14" s="37">
        <f>G14*12</f>
        <v>315.56579963358774</v>
      </c>
      <c r="I14" s="41" t="s">
        <v>49</v>
      </c>
      <c r="M14" s="6"/>
      <c r="N14" s="37">
        <f t="shared" si="0"/>
        <v>315.56579963358774</v>
      </c>
      <c r="O14" s="41" t="s">
        <v>49</v>
      </c>
    </row>
    <row r="15" spans="1:16" x14ac:dyDescent="0.2">
      <c r="B15" s="112" t="s">
        <v>50</v>
      </c>
      <c r="C15" t="s">
        <v>77</v>
      </c>
      <c r="F15" s="123">
        <f>H15/H14</f>
        <v>0.67909332900849895</v>
      </c>
      <c r="G15" s="37">
        <f>INDEX('Site Data Input'!$I$2:$I$6,MATCH($P$7,'Site Data Input'!$A$2:$A$6),1)/12</f>
        <v>17.858219116200171</v>
      </c>
      <c r="H15" s="37">
        <f>G15*12</f>
        <v>214.29862939440204</v>
      </c>
      <c r="I15" s="41" t="s">
        <v>49</v>
      </c>
      <c r="M15" s="6"/>
      <c r="N15" s="174">
        <f t="shared" si="0"/>
        <v>214.29862939440204</v>
      </c>
      <c r="O15" s="41" t="s">
        <v>49</v>
      </c>
    </row>
    <row r="16" spans="1:16" x14ac:dyDescent="0.2">
      <c r="B16" s="112" t="s">
        <v>52</v>
      </c>
      <c r="C16" s="41" t="s">
        <v>53</v>
      </c>
      <c r="G16" s="122">
        <f>INDEX('Site Data Input'!$G$2:$G$6,MATCH($P$7,'Site Data Input'!$A$2:$A$6),1)</f>
        <v>43.4</v>
      </c>
      <c r="H16" s="124">
        <f>G16</f>
        <v>43.4</v>
      </c>
      <c r="I16" s="41" t="s">
        <v>49</v>
      </c>
      <c r="M16" s="6"/>
      <c r="N16" s="37">
        <f t="shared" si="0"/>
        <v>43.4</v>
      </c>
      <c r="O16" s="41" t="s">
        <v>49</v>
      </c>
    </row>
    <row r="17" spans="1:16" x14ac:dyDescent="0.2">
      <c r="B17" s="112" t="s">
        <v>54</v>
      </c>
      <c r="C17" t="s">
        <v>55</v>
      </c>
      <c r="F17" s="123">
        <f>H17/(G14*VLOOKUP($P$7,Year_hours,2,FALSE))</f>
        <v>0.86405887829521699</v>
      </c>
      <c r="G17" s="38">
        <f>H17/12</f>
        <v>16632.713282443594</v>
      </c>
      <c r="H17" s="38">
        <f>INDEX('Site Data Input'!$H$2:$H$6,MATCH($P$7,'Site Data Input'!$A$2:$A$6),1)</f>
        <v>199592.55938932311</v>
      </c>
      <c r="I17" s="41" t="s">
        <v>56</v>
      </c>
      <c r="M17" s="6"/>
      <c r="N17" s="38">
        <f t="shared" si="0"/>
        <v>199592.55938932311</v>
      </c>
      <c r="O17" s="41" t="s">
        <v>56</v>
      </c>
    </row>
    <row r="18" spans="1:16" x14ac:dyDescent="0.2">
      <c r="B18" s="112" t="s">
        <v>57</v>
      </c>
      <c r="C18" t="s">
        <v>58</v>
      </c>
      <c r="G18" s="37">
        <f>H18/12</f>
        <v>39.06</v>
      </c>
      <c r="H18" s="37">
        <f>MAX(G14,G16*90%)*12</f>
        <v>468.72</v>
      </c>
      <c r="I18" s="41" t="s">
        <v>49</v>
      </c>
      <c r="M18" s="158"/>
      <c r="N18" s="37">
        <f t="shared" si="0"/>
        <v>468.72</v>
      </c>
      <c r="O18" s="41" t="s">
        <v>49</v>
      </c>
    </row>
    <row r="19" spans="1:16" x14ac:dyDescent="0.2">
      <c r="B19" s="112" t="s">
        <v>59</v>
      </c>
      <c r="C19" t="s">
        <v>60</v>
      </c>
      <c r="G19" s="8"/>
      <c r="H19" s="151">
        <f>INDEX('Site Data Input'!$N$2:$N$6,MATCH($P$7,'Site Data Input'!$A$2:$A$6),1)/(INDEX('Site Data Input'!$H$2:$H$6,MATCH($P$7,'Site Data Input'!$A$2:$A$6),1)*$H$22)</f>
        <v>6.558098727553538E-2</v>
      </c>
      <c r="I19" s="16"/>
      <c r="M19" s="6"/>
      <c r="N19" s="94">
        <f t="shared" si="0"/>
        <v>6.558098727553538E-2</v>
      </c>
      <c r="O19" s="16"/>
    </row>
    <row r="20" spans="1:16" x14ac:dyDescent="0.2">
      <c r="B20" s="112" t="s">
        <v>61</v>
      </c>
      <c r="C20" s="41" t="s">
        <v>153</v>
      </c>
      <c r="G20" s="92"/>
      <c r="H20" s="37">
        <f>INDEX('Site Data Input'!$R$2:$R$6,MATCH($P$7,'Site Data Input'!$A$2:$A$6),1)/INDEX(Lookup!$C$24:$Z$24,1,MATCH($J$6,Lookup!$C$1:$Z$1,0))</f>
        <v>0</v>
      </c>
      <c r="I20" s="41" t="s">
        <v>63</v>
      </c>
      <c r="M20" s="92"/>
      <c r="N20" s="37">
        <f t="shared" si="0"/>
        <v>0</v>
      </c>
      <c r="O20" s="41" t="s">
        <v>63</v>
      </c>
    </row>
    <row r="21" spans="1:16" x14ac:dyDescent="0.2">
      <c r="B21" s="112" t="s">
        <v>147</v>
      </c>
      <c r="C21" s="41" t="s">
        <v>65</v>
      </c>
      <c r="G21" s="8"/>
      <c r="H21" s="93">
        <f>INDEX('Site Data Input'!$M$2:$M$6,MATCH($P$7,'Site Data Input'!$A$2:$A$6),1)/INDEX('Site Data Input'!$H$2:$H$6,MATCH($P$7,'Site Data Input'!$A$2:$A$6),1)</f>
        <v>44.897250615278651</v>
      </c>
      <c r="I21" s="16" t="s">
        <v>66</v>
      </c>
      <c r="M21" s="8"/>
      <c r="N21" s="93">
        <f t="shared" si="0"/>
        <v>44.897250615278651</v>
      </c>
      <c r="O21" s="16" t="s">
        <v>66</v>
      </c>
    </row>
    <row r="22" spans="1:16" x14ac:dyDescent="0.2">
      <c r="B22" s="112" t="s">
        <v>64</v>
      </c>
      <c r="C22" s="41" t="s">
        <v>68</v>
      </c>
      <c r="G22" s="8"/>
      <c r="H22" s="93">
        <f>INDEX(Lookup!$C$18:$Z$18,1,MATCH($P$7,Lookup!$C$1:$Z$1,0))</f>
        <v>46.72</v>
      </c>
      <c r="I22" s="16" t="s">
        <v>66</v>
      </c>
      <c r="M22" s="8"/>
      <c r="N22" s="93">
        <f t="shared" si="0"/>
        <v>46.72</v>
      </c>
      <c r="O22" s="16" t="s">
        <v>66</v>
      </c>
    </row>
    <row r="24" spans="1:16" x14ac:dyDescent="0.2">
      <c r="A24" s="262" t="s">
        <v>69</v>
      </c>
      <c r="B24" s="262"/>
      <c r="C24" s="262"/>
      <c r="D24" s="262"/>
      <c r="E24" s="262"/>
      <c r="F24" s="262" t="s">
        <v>70</v>
      </c>
      <c r="G24" s="262"/>
      <c r="H24" s="262" t="s">
        <v>71</v>
      </c>
      <c r="I24" s="262"/>
      <c r="J24" s="40" t="s">
        <v>72</v>
      </c>
      <c r="L24" s="262" t="s">
        <v>70</v>
      </c>
      <c r="M24" s="262"/>
      <c r="N24" s="262" t="s">
        <v>71</v>
      </c>
      <c r="O24" s="262"/>
      <c r="P24" s="40" t="s">
        <v>72</v>
      </c>
    </row>
    <row r="25" spans="1:16" s="41" customFormat="1" x14ac:dyDescent="0.2">
      <c r="A25" s="263" t="s">
        <v>73</v>
      </c>
      <c r="B25" s="264"/>
      <c r="C25" s="264"/>
      <c r="D25" s="264"/>
      <c r="E25" s="264"/>
      <c r="F25" s="264"/>
      <c r="G25" s="264"/>
      <c r="H25" s="264"/>
      <c r="I25" s="264"/>
      <c r="J25" s="265"/>
      <c r="L25" s="228" t="s">
        <v>73</v>
      </c>
      <c r="M25" s="229"/>
      <c r="N25" s="229"/>
      <c r="O25" s="229"/>
      <c r="P25" s="230"/>
    </row>
    <row r="26" spans="1:16" x14ac:dyDescent="0.2">
      <c r="A26" s="5" t="s">
        <v>74</v>
      </c>
      <c r="C26" s="5"/>
      <c r="D26" s="5"/>
      <c r="E26" s="5"/>
      <c r="F26" s="5"/>
      <c r="G26" s="5"/>
      <c r="H26" s="42"/>
      <c r="I26" s="5"/>
      <c r="J26" s="9"/>
      <c r="L26" s="5"/>
      <c r="M26" s="5"/>
      <c r="N26" s="42"/>
      <c r="O26" s="5"/>
      <c r="P26" s="9"/>
    </row>
    <row r="27" spans="1:16" x14ac:dyDescent="0.2">
      <c r="A27" s="28" t="s">
        <v>75</v>
      </c>
      <c r="B27" s="29"/>
      <c r="C27" s="29"/>
      <c r="D27" s="29"/>
      <c r="E27" s="29"/>
      <c r="F27" s="30"/>
      <c r="G27" s="29"/>
      <c r="H27" s="43"/>
      <c r="I27" s="29"/>
      <c r="J27" s="53"/>
      <c r="L27" s="113"/>
      <c r="M27" s="29"/>
      <c r="N27" s="43"/>
      <c r="O27" s="29"/>
      <c r="P27" s="53"/>
    </row>
    <row r="28" spans="1:16" x14ac:dyDescent="0.2">
      <c r="A28" s="15" t="s">
        <v>76</v>
      </c>
      <c r="B28" t="s">
        <v>77</v>
      </c>
      <c r="F28" s="88">
        <f>INDEX(Lookup!$C$4:$Z$4,1,MATCH($J$6,Lookup!$C$1:$Z$1,0))</f>
        <v>10087</v>
      </c>
      <c r="G28" s="16" t="s">
        <v>78</v>
      </c>
      <c r="H28" s="37">
        <f>H15</f>
        <v>214.29862939440204</v>
      </c>
      <c r="I28" s="16" t="str">
        <f>I15</f>
        <v>MW</v>
      </c>
      <c r="J28" s="54">
        <f>F28*H28</f>
        <v>2161630.2747013336</v>
      </c>
      <c r="L28" s="114">
        <f>INDEX(Lookup!$C$4:$Z$4,1,MATCH($P$6,Lookup!$C$1:$Z$1,0))</f>
        <v>5980</v>
      </c>
      <c r="M28" s="16" t="s">
        <v>78</v>
      </c>
      <c r="N28" s="37">
        <f>N15</f>
        <v>214.29862939440204</v>
      </c>
      <c r="O28" s="16" t="str">
        <f>O15</f>
        <v>MW</v>
      </c>
      <c r="P28" s="54">
        <f>L28*N28</f>
        <v>1281505.8037785243</v>
      </c>
    </row>
    <row r="29" spans="1:16" x14ac:dyDescent="0.2">
      <c r="A29" s="31" t="s">
        <v>79</v>
      </c>
      <c r="B29" s="32"/>
      <c r="C29" s="32"/>
      <c r="D29" s="32"/>
      <c r="E29" s="32"/>
      <c r="F29" s="33"/>
      <c r="G29" s="32"/>
      <c r="H29" s="45"/>
      <c r="I29" s="32"/>
      <c r="J29" s="56"/>
      <c r="L29" s="115"/>
      <c r="M29" s="32"/>
      <c r="N29" s="45"/>
      <c r="O29" s="32"/>
      <c r="P29" s="56"/>
    </row>
    <row r="30" spans="1:16" x14ac:dyDescent="0.2">
      <c r="A30" s="77" t="s">
        <v>80</v>
      </c>
      <c r="B30" t="s">
        <v>58</v>
      </c>
      <c r="F30" s="88">
        <f>INDEX(Lookup!$C$6:$Z$6,1,MATCH($J$6,Lookup!$C$1:$Z$1,0))</f>
        <v>2668</v>
      </c>
      <c r="G30" s="16" t="s">
        <v>78</v>
      </c>
      <c r="H30" s="37">
        <f>H18</f>
        <v>468.72</v>
      </c>
      <c r="I30" s="16" t="str">
        <f>I18</f>
        <v>MW</v>
      </c>
      <c r="J30" s="54">
        <f>F30*H30</f>
        <v>1250544.96</v>
      </c>
      <c r="L30" s="114">
        <f>INDEX(Lookup!$C$6:$Z$6,1,MATCH($P$6,Lookup!$C$1:$Z$1,0))</f>
        <v>2055</v>
      </c>
      <c r="M30" s="16" t="s">
        <v>78</v>
      </c>
      <c r="N30" s="37">
        <f>N18</f>
        <v>468.72</v>
      </c>
      <c r="O30" s="16" t="str">
        <f>O18</f>
        <v>MW</v>
      </c>
      <c r="P30" s="54">
        <f>L30*N30</f>
        <v>963219.60000000009</v>
      </c>
    </row>
    <row r="31" spans="1:16" x14ac:dyDescent="0.2">
      <c r="A31" s="31" t="s">
        <v>81</v>
      </c>
      <c r="B31" s="32"/>
      <c r="C31" s="32"/>
      <c r="D31" s="32"/>
      <c r="E31" s="32"/>
      <c r="F31" s="33"/>
      <c r="G31" s="32"/>
      <c r="H31" s="45"/>
      <c r="I31" s="32"/>
      <c r="J31" s="56"/>
      <c r="L31" s="115"/>
      <c r="M31" s="32"/>
      <c r="N31" s="45"/>
      <c r="O31" s="32"/>
      <c r="P31" s="56"/>
    </row>
    <row r="32" spans="1:16" x14ac:dyDescent="0.2">
      <c r="A32" s="111" t="s">
        <v>82</v>
      </c>
      <c r="B32" s="17" t="s">
        <v>55</v>
      </c>
      <c r="C32" s="17"/>
      <c r="D32" s="17"/>
      <c r="E32" s="17"/>
      <c r="F32" s="88">
        <f>INDEX(Lookup!$C$7:$Z$7,1,MATCH($J$6,Lookup!$C$1:$Z$1,0))</f>
        <v>2.1799999999999997</v>
      </c>
      <c r="G32" s="18" t="s">
        <v>66</v>
      </c>
      <c r="H32" s="44">
        <f>H17</f>
        <v>199592.55938932311</v>
      </c>
      <c r="I32" s="18" t="str">
        <f>I17</f>
        <v>MWh</v>
      </c>
      <c r="J32" s="55">
        <f>F32*H32</f>
        <v>435111.77946872433</v>
      </c>
      <c r="L32" s="114">
        <f>INDEX(Lookup!$C$7:$Z$7,1,MATCH($P$6,Lookup!$C$1:$Z$1,0))</f>
        <v>10.19</v>
      </c>
      <c r="M32" s="18" t="s">
        <v>66</v>
      </c>
      <c r="N32" s="44">
        <f>N17</f>
        <v>199592.55938932311</v>
      </c>
      <c r="O32" s="18" t="str">
        <f>O17</f>
        <v>MWh</v>
      </c>
      <c r="P32" s="55">
        <f>L32*N32</f>
        <v>2033848.1801772024</v>
      </c>
    </row>
    <row r="33" spans="1:16" x14ac:dyDescent="0.2">
      <c r="A33" s="31" t="s">
        <v>83</v>
      </c>
      <c r="B33" s="32"/>
      <c r="C33" s="32"/>
      <c r="D33" s="32"/>
      <c r="E33" s="32"/>
      <c r="F33" s="33"/>
      <c r="G33" s="32"/>
      <c r="H33" s="45"/>
      <c r="I33" s="32"/>
      <c r="J33" s="56"/>
      <c r="L33" s="115"/>
      <c r="M33" s="32"/>
      <c r="N33" s="45"/>
      <c r="O33" s="32"/>
      <c r="P33" s="56"/>
    </row>
    <row r="34" spans="1:16" x14ac:dyDescent="0.2">
      <c r="A34" s="15" t="s">
        <v>84</v>
      </c>
      <c r="B34" t="s">
        <v>85</v>
      </c>
      <c r="F34" s="88">
        <f>INDEX(Lookup!$C$8:$Z$8,1,MATCH($J$6,Lookup!$C$1:$Z$1,0))</f>
        <v>11278</v>
      </c>
      <c r="G34" s="16" t="s">
        <v>86</v>
      </c>
      <c r="H34" s="39">
        <f>H12</f>
        <v>1</v>
      </c>
      <c r="J34" s="54">
        <f>F34*H34*12</f>
        <v>135336</v>
      </c>
      <c r="L34" s="114">
        <f>INDEX(Lookup!$C$8:$Z$8,1,MATCH($J$6,Lookup!$C$1:$Z$1,0))</f>
        <v>11278</v>
      </c>
      <c r="M34" s="16" t="s">
        <v>86</v>
      </c>
      <c r="N34" s="39">
        <f>N12</f>
        <v>1</v>
      </c>
      <c r="P34" s="54">
        <f>L34*N34*12</f>
        <v>135336</v>
      </c>
    </row>
    <row r="35" spans="1:16" x14ac:dyDescent="0.2">
      <c r="A35" s="15" t="s">
        <v>87</v>
      </c>
      <c r="B35" t="s">
        <v>88</v>
      </c>
      <c r="F35" s="88">
        <f>INDEX(Lookup!$C$9:$Z$9,1,MATCH($J$6,Lookup!$C$1:$Z$1,0))</f>
        <v>4566</v>
      </c>
      <c r="G35" s="16" t="s">
        <v>78</v>
      </c>
      <c r="H35" s="37">
        <f>MIN(G18,7.5*H12)</f>
        <v>7.5</v>
      </c>
      <c r="I35" s="16" t="str">
        <f>I18</f>
        <v>MW</v>
      </c>
      <c r="J35" s="54">
        <f t="shared" ref="J35:J38" si="1">F35*H35*12</f>
        <v>410940</v>
      </c>
      <c r="L35" s="114">
        <f>INDEX(Lookup!$C$9:$Z$9,1,MATCH($J$6,Lookup!$C$1:$Z$1,0))</f>
        <v>4566</v>
      </c>
      <c r="M35" s="16" t="s">
        <v>78</v>
      </c>
      <c r="N35" s="37">
        <f>MIN(N18/12,7.5*N12)</f>
        <v>7.5</v>
      </c>
      <c r="O35" s="16" t="str">
        <f>O18</f>
        <v>MW</v>
      </c>
      <c r="P35" s="54">
        <f t="shared" ref="P35:P38" si="2">L35*N35*12</f>
        <v>410940</v>
      </c>
    </row>
    <row r="36" spans="1:16" x14ac:dyDescent="0.2">
      <c r="A36" s="15" t="s">
        <v>89</v>
      </c>
      <c r="B36" t="s">
        <v>90</v>
      </c>
      <c r="F36" s="88">
        <f>INDEX(Lookup!$C$10:$Z$10,1,MATCH($J$6,Lookup!$C$1:$Z$1,0))</f>
        <v>2860</v>
      </c>
      <c r="G36" s="16" t="s">
        <v>78</v>
      </c>
      <c r="H36" s="37">
        <f>MAX(MIN(G18,17*H12)-(7.5*H12),0)</f>
        <v>9.5</v>
      </c>
      <c r="I36" s="16" t="str">
        <f>I18</f>
        <v>MW</v>
      </c>
      <c r="J36" s="54">
        <f t="shared" si="1"/>
        <v>326040</v>
      </c>
      <c r="L36" s="114">
        <f>INDEX(Lookup!$C$10:$Z$10,1,MATCH($J$6,Lookup!$C$1:$Z$1,0))</f>
        <v>2860</v>
      </c>
      <c r="M36" s="16" t="s">
        <v>78</v>
      </c>
      <c r="N36" s="37">
        <f>MAX(MIN(N18/12,17*N12)-(7.5*N12),0)</f>
        <v>9.5</v>
      </c>
      <c r="O36" s="16" t="str">
        <f>O18</f>
        <v>MW</v>
      </c>
      <c r="P36" s="54">
        <f t="shared" si="2"/>
        <v>326040</v>
      </c>
    </row>
    <row r="37" spans="1:16" x14ac:dyDescent="0.2">
      <c r="A37" s="15" t="s">
        <v>91</v>
      </c>
      <c r="B37" t="s">
        <v>92</v>
      </c>
      <c r="F37" s="88">
        <f>INDEX(Lookup!$C$11:$Z$11,1,MATCH($J$6,Lookup!$C$1:$Z$1,0))</f>
        <v>1995</v>
      </c>
      <c r="G37" s="16" t="s">
        <v>78</v>
      </c>
      <c r="H37" s="37">
        <f>MAX(MIN(G18,40*H12)-(17*H12),0)</f>
        <v>22.060000000000002</v>
      </c>
      <c r="I37" s="16" t="str">
        <f>I18</f>
        <v>MW</v>
      </c>
      <c r="J37" s="54">
        <f t="shared" si="1"/>
        <v>528116.4</v>
      </c>
      <c r="L37" s="114">
        <f>INDEX(Lookup!$C$11:$Z$11,1,MATCH($J$6,Lookup!$C$1:$Z$1,0))</f>
        <v>1995</v>
      </c>
      <c r="M37" s="16" t="s">
        <v>78</v>
      </c>
      <c r="N37" s="37">
        <f>MAX(MIN(N18/12,40*N12)-(17*N12),0)</f>
        <v>22.060000000000002</v>
      </c>
      <c r="O37" s="16" t="str">
        <f>O18</f>
        <v>MW</v>
      </c>
      <c r="P37" s="54">
        <f t="shared" si="2"/>
        <v>528116.4</v>
      </c>
    </row>
    <row r="38" spans="1:16" x14ac:dyDescent="0.2">
      <c r="A38" s="21" t="s">
        <v>93</v>
      </c>
      <c r="B38" s="19" t="s">
        <v>94</v>
      </c>
      <c r="C38" s="19"/>
      <c r="D38" s="19"/>
      <c r="E38" s="19"/>
      <c r="F38" s="89">
        <f>INDEX(Lookup!$C$12:$Z$12,1,MATCH($J$6,Lookup!$C$1:$Z$1,0))</f>
        <v>1292</v>
      </c>
      <c r="G38" s="20" t="s">
        <v>78</v>
      </c>
      <c r="H38" s="46">
        <f>MAX(G18-(40*H12),0)</f>
        <v>0</v>
      </c>
      <c r="I38" s="20" t="str">
        <f>I18</f>
        <v>MW</v>
      </c>
      <c r="J38" s="57">
        <f t="shared" si="1"/>
        <v>0</v>
      </c>
      <c r="L38" s="116">
        <f>INDEX(Lookup!$C$12:$Z$12,1,MATCH($J$6,Lookup!$C$1:$Z$1,0))</f>
        <v>1292</v>
      </c>
      <c r="M38" s="20" t="s">
        <v>78</v>
      </c>
      <c r="N38" s="46">
        <f>MAX(N18/12-(40*N12),0)</f>
        <v>0</v>
      </c>
      <c r="O38" s="20" t="str">
        <f>O18</f>
        <v>MW</v>
      </c>
      <c r="P38" s="57">
        <f t="shared" si="2"/>
        <v>0</v>
      </c>
    </row>
    <row r="39" spans="1:16" ht="12.75" customHeight="1" x14ac:dyDescent="0.2">
      <c r="A39" s="22" t="s">
        <v>95</v>
      </c>
      <c r="B39" s="23"/>
      <c r="C39" s="23"/>
      <c r="D39" s="23"/>
      <c r="E39" s="23"/>
      <c r="F39" s="24"/>
      <c r="G39" s="25"/>
      <c r="H39" s="49"/>
      <c r="I39" s="25"/>
      <c r="J39" s="60">
        <f>SUM(J28:J38)</f>
        <v>5247719.4141700584</v>
      </c>
      <c r="L39" s="22" t="s">
        <v>95</v>
      </c>
      <c r="M39" s="25"/>
      <c r="N39" s="49"/>
      <c r="O39" s="25"/>
      <c r="P39" s="60">
        <f>SUM(P28:P38)</f>
        <v>5679005.983955727</v>
      </c>
    </row>
    <row r="40" spans="1:16" ht="12.75" customHeight="1" x14ac:dyDescent="0.2">
      <c r="J40" s="7"/>
      <c r="L40" s="190"/>
      <c r="M40" s="190"/>
      <c r="N40" s="191"/>
      <c r="O40" s="190"/>
      <c r="P40" s="192"/>
    </row>
    <row r="41" spans="1:16" x14ac:dyDescent="0.2">
      <c r="A41" s="5" t="s">
        <v>96</v>
      </c>
      <c r="C41" s="5"/>
      <c r="D41" s="5"/>
      <c r="E41" s="5"/>
      <c r="F41" s="5"/>
      <c r="G41" s="5"/>
      <c r="H41" s="42"/>
      <c r="I41" s="5"/>
      <c r="J41" s="9"/>
      <c r="L41" s="172"/>
      <c r="M41" s="172"/>
      <c r="N41" s="173"/>
      <c r="O41" s="172"/>
      <c r="P41" s="189"/>
    </row>
    <row r="42" spans="1:16" x14ac:dyDescent="0.2">
      <c r="A42" s="10" t="s">
        <v>97</v>
      </c>
      <c r="B42" s="11" t="s">
        <v>55</v>
      </c>
      <c r="C42" s="11"/>
      <c r="D42" s="51" t="s">
        <v>98</v>
      </c>
      <c r="E42" s="62">
        <f>H19</f>
        <v>6.558098727553538E-2</v>
      </c>
      <c r="F42" s="52">
        <f>H22</f>
        <v>46.72</v>
      </c>
      <c r="G42" s="50" t="s">
        <v>66</v>
      </c>
      <c r="H42" s="47">
        <f>H17</f>
        <v>199592.55938932311</v>
      </c>
      <c r="I42" s="12" t="str">
        <f>I17</f>
        <v>MWh</v>
      </c>
      <c r="J42" s="58">
        <f>E42*F42*H42</f>
        <v>611540.36999999988</v>
      </c>
      <c r="L42" s="118">
        <f>F42</f>
        <v>46.72</v>
      </c>
      <c r="M42" s="50" t="s">
        <v>66</v>
      </c>
      <c r="N42" s="47">
        <f>N17</f>
        <v>199592.55938932311</v>
      </c>
      <c r="O42" s="12" t="str">
        <f>O17</f>
        <v>MWh</v>
      </c>
      <c r="P42" s="58">
        <f>E42*L42*N42</f>
        <v>611540.36999999988</v>
      </c>
    </row>
    <row r="43" spans="1:16" x14ac:dyDescent="0.2">
      <c r="A43" s="5" t="s">
        <v>99</v>
      </c>
      <c r="C43" s="5"/>
      <c r="D43" s="5"/>
      <c r="E43" s="5"/>
      <c r="F43" s="5"/>
      <c r="G43" s="5"/>
      <c r="H43" s="42"/>
      <c r="I43" s="5"/>
      <c r="J43" s="9"/>
      <c r="L43" s="117"/>
      <c r="M43" s="5"/>
      <c r="N43" s="42"/>
      <c r="O43" s="5"/>
      <c r="P43" s="9"/>
    </row>
    <row r="44" spans="1:16" x14ac:dyDescent="0.2">
      <c r="A44" s="10" t="s">
        <v>100</v>
      </c>
      <c r="B44" s="11" t="s">
        <v>55</v>
      </c>
      <c r="C44" s="11"/>
      <c r="D44" s="11"/>
      <c r="E44" s="11"/>
      <c r="F44" s="90">
        <f>INDEX(Lookup!$C$20:$Z$20,1,MATCH($J$6,Lookup!$C$1:$Z$1,0))</f>
        <v>2E-3</v>
      </c>
      <c r="G44" s="12" t="s">
        <v>66</v>
      </c>
      <c r="H44" s="47">
        <f>H17</f>
        <v>199592.55938932311</v>
      </c>
      <c r="I44" s="12" t="str">
        <f>I17</f>
        <v>MWh</v>
      </c>
      <c r="J44" s="58">
        <f>F44*H44</f>
        <v>399.18511877864626</v>
      </c>
      <c r="L44" s="119">
        <f>INDEX(Lookup!$C$20:$Z$20,1,MATCH($J$6,Lookup!$C$1:$Z$1,0))</f>
        <v>2E-3</v>
      </c>
      <c r="M44" s="12" t="s">
        <v>66</v>
      </c>
      <c r="N44" s="47">
        <f>N17</f>
        <v>199592.55938932311</v>
      </c>
      <c r="O44" s="12" t="str">
        <f>O17</f>
        <v>MWh</v>
      </c>
      <c r="P44" s="58">
        <f>L44*N44</f>
        <v>399.18511877864626</v>
      </c>
    </row>
    <row r="45" spans="1:16" x14ac:dyDescent="0.2">
      <c r="A45" s="5" t="s">
        <v>101</v>
      </c>
      <c r="C45" s="5"/>
      <c r="D45" s="5"/>
      <c r="E45" s="5"/>
      <c r="F45" s="5"/>
      <c r="G45" s="5"/>
      <c r="H45" s="42"/>
      <c r="I45" s="5"/>
      <c r="J45" s="9"/>
      <c r="L45" s="117"/>
      <c r="M45" s="5"/>
      <c r="N45" s="42"/>
      <c r="O45" s="5"/>
      <c r="P45" s="9"/>
    </row>
    <row r="46" spans="1:16" x14ac:dyDescent="0.2">
      <c r="A46" s="74" t="s">
        <v>102</v>
      </c>
      <c r="B46" s="11" t="s">
        <v>55</v>
      </c>
      <c r="C46" s="11"/>
      <c r="D46" s="11"/>
      <c r="E46" s="11"/>
      <c r="F46" s="87">
        <f>INDEX(Lookup!$C$21:$Z$21,1,MATCH($J$6,Lookup!$C$1:$Z$1,0))</f>
        <v>0.06</v>
      </c>
      <c r="G46" s="12" t="s">
        <v>66</v>
      </c>
      <c r="H46" s="47">
        <f>H17</f>
        <v>199592.55938932311</v>
      </c>
      <c r="I46" s="12" t="str">
        <f>I17</f>
        <v>MWh</v>
      </c>
      <c r="J46" s="58">
        <f>F46*H46</f>
        <v>11975.553563359386</v>
      </c>
      <c r="L46" s="120">
        <f>INDEX(Lookup!$C$21:$Z$21,1,MATCH($J$6,Lookup!$C$1:$Z$1,0))</f>
        <v>0.06</v>
      </c>
      <c r="M46" s="12" t="s">
        <v>66</v>
      </c>
      <c r="N46" s="47">
        <f>N17</f>
        <v>199592.55938932311</v>
      </c>
      <c r="O46" s="12" t="str">
        <f>O17</f>
        <v>MWh</v>
      </c>
      <c r="P46" s="58">
        <f>L46*N46</f>
        <v>11975.553563359386</v>
      </c>
    </row>
    <row r="47" spans="1:16" x14ac:dyDescent="0.2">
      <c r="A47" s="5" t="s">
        <v>103</v>
      </c>
      <c r="B47" s="5"/>
      <c r="C47" s="5"/>
      <c r="D47" s="5"/>
      <c r="E47" s="5"/>
      <c r="F47" s="5"/>
      <c r="G47" s="5"/>
      <c r="H47" s="42"/>
      <c r="I47" s="5"/>
      <c r="J47" s="9"/>
      <c r="L47" s="117"/>
      <c r="M47" s="5"/>
      <c r="N47" s="42"/>
      <c r="O47" s="5"/>
      <c r="P47" s="9"/>
    </row>
    <row r="48" spans="1:16" x14ac:dyDescent="0.2">
      <c r="A48" s="75" t="s">
        <v>104</v>
      </c>
      <c r="B48" s="13" t="s">
        <v>48</v>
      </c>
      <c r="C48" s="13"/>
      <c r="D48" s="13"/>
      <c r="E48" s="13"/>
      <c r="F48" s="91">
        <f>INDEX(Lookup!$C$22:$Z$22,1,MATCH($J$6,Lookup!$C$1:$Z$1,0))</f>
        <v>38</v>
      </c>
      <c r="G48" s="14" t="s">
        <v>78</v>
      </c>
      <c r="H48" s="48">
        <f>H14</f>
        <v>315.56579963358774</v>
      </c>
      <c r="I48" s="14" t="str">
        <f>I14</f>
        <v>MW</v>
      </c>
      <c r="J48" s="59">
        <f t="shared" ref="J48:J49" si="3">F48*H48</f>
        <v>11991.500386076334</v>
      </c>
      <c r="L48" s="121">
        <f>INDEX(Lookup!$C$22:$Z$22,1,MATCH($J$6,Lookup!$C$1:$Z$1,0))</f>
        <v>38</v>
      </c>
      <c r="M48" s="14" t="s">
        <v>78</v>
      </c>
      <c r="N48" s="48">
        <f>N14</f>
        <v>315.56579963358774</v>
      </c>
      <c r="O48" s="14" t="str">
        <f>O14</f>
        <v>MW</v>
      </c>
      <c r="P48" s="59">
        <f t="shared" ref="P48:P49" si="4">L48*N48</f>
        <v>11991.500386076334</v>
      </c>
    </row>
    <row r="49" spans="1:16" x14ac:dyDescent="0.2">
      <c r="A49" s="76" t="s">
        <v>105</v>
      </c>
      <c r="B49" s="19" t="s">
        <v>62</v>
      </c>
      <c r="C49" s="19"/>
      <c r="D49" s="19"/>
      <c r="E49" s="19"/>
      <c r="F49" s="89">
        <f>INDEX(Lookup!$C$24:$Z$24,1,MATCH($J$6,Lookup!$C$1:$Z$1,0))</f>
        <v>400</v>
      </c>
      <c r="G49" s="20" t="s">
        <v>106</v>
      </c>
      <c r="H49" s="46">
        <f>H20</f>
        <v>0</v>
      </c>
      <c r="I49" s="20" t="str">
        <f>I20</f>
        <v>MVA</v>
      </c>
      <c r="J49" s="57">
        <f t="shared" si="3"/>
        <v>0</v>
      </c>
      <c r="L49" s="116">
        <f>INDEX(Lookup!$C$24:$Z$24,1,MATCH($J$6,Lookup!$C$1:$Z$1,0))</f>
        <v>400</v>
      </c>
      <c r="M49" s="20" t="s">
        <v>106</v>
      </c>
      <c r="N49" s="46">
        <f>N20</f>
        <v>0</v>
      </c>
      <c r="O49" s="20" t="str">
        <f>O20</f>
        <v>MVA</v>
      </c>
      <c r="P49" s="57">
        <f t="shared" si="4"/>
        <v>0</v>
      </c>
    </row>
    <row r="50" spans="1:16" x14ac:dyDescent="0.2">
      <c r="A50" s="22" t="s">
        <v>107</v>
      </c>
      <c r="B50" s="23"/>
      <c r="C50" s="23"/>
      <c r="D50" s="23"/>
      <c r="E50" s="23"/>
      <c r="F50" s="24"/>
      <c r="G50" s="25"/>
      <c r="H50" s="49"/>
      <c r="I50" s="25"/>
      <c r="J50" s="60">
        <f>SUM(J39:J49)</f>
        <v>5883626.0232382724</v>
      </c>
      <c r="L50" s="22" t="s">
        <v>107</v>
      </c>
      <c r="M50" s="25"/>
      <c r="N50" s="49"/>
      <c r="O50" s="25"/>
      <c r="P50" s="60">
        <f>SUM(P39:P49)</f>
        <v>6314912.5930239409</v>
      </c>
    </row>
    <row r="51" spans="1:16" ht="9" customHeight="1" x14ac:dyDescent="0.2">
      <c r="J51" s="7"/>
      <c r="P51" s="7"/>
    </row>
    <row r="52" spans="1:16" x14ac:dyDescent="0.2">
      <c r="A52" s="28" t="s">
        <v>108</v>
      </c>
      <c r="B52" s="29"/>
      <c r="C52" s="29"/>
      <c r="D52" s="29"/>
      <c r="E52" s="29"/>
      <c r="F52" s="30"/>
      <c r="G52" s="29"/>
      <c r="H52" s="43"/>
      <c r="I52" s="29"/>
      <c r="J52" s="53"/>
      <c r="L52" s="115"/>
      <c r="M52" s="32"/>
      <c r="N52" s="45"/>
      <c r="O52" s="32"/>
      <c r="P52" s="56"/>
    </row>
    <row r="53" spans="1:16" x14ac:dyDescent="0.2">
      <c r="A53" s="15"/>
      <c r="B53" t="s">
        <v>85</v>
      </c>
      <c r="F53" s="194">
        <f>INDEX(Lookup!$C$13:$Z$13,1,MATCH($J$6,Lookup!$C$1:$Z$1,0))</f>
        <v>-8910</v>
      </c>
      <c r="G53" s="16" t="s">
        <v>86</v>
      </c>
      <c r="H53" s="39">
        <f>H12</f>
        <v>1</v>
      </c>
      <c r="J53" s="54">
        <f>IF(H$13="No",0,F53*H53)*12</f>
        <v>0</v>
      </c>
      <c r="L53" s="195">
        <f>INDEX(Lookup!$C$13:$Z$13,1,MATCH($P$6,Lookup!$C$1:$Z$1,0))</f>
        <v>-8910</v>
      </c>
      <c r="M53" s="16" t="s">
        <v>86</v>
      </c>
      <c r="N53" s="39">
        <f>N12</f>
        <v>1</v>
      </c>
      <c r="P53" s="54">
        <f>IF($N$13="No",0,L53*N53*12)</f>
        <v>0</v>
      </c>
    </row>
    <row r="54" spans="1:16" x14ac:dyDescent="0.2">
      <c r="A54" s="15"/>
      <c r="B54" t="s">
        <v>88</v>
      </c>
      <c r="F54" s="194">
        <f>INDEX(Lookup!$C$14:$Z$14,1,MATCH($J$6,Lookup!$C$1:$Z$1,0))</f>
        <v>-3607</v>
      </c>
      <c r="G54" s="16" t="s">
        <v>78</v>
      </c>
      <c r="H54" s="37">
        <f>H35</f>
        <v>7.5</v>
      </c>
      <c r="I54" s="16" t="str">
        <f>I32</f>
        <v>MWh</v>
      </c>
      <c r="J54" s="54">
        <f t="shared" ref="J54:J57" si="5">IF(H$13="No",0,F54*H54)*12</f>
        <v>0</v>
      </c>
      <c r="L54" s="195">
        <f>INDEX(Lookup!$C$14:$Z$14,1,MATCH($P$6,Lookup!$C$1:$Z$1,0))</f>
        <v>-3607</v>
      </c>
      <c r="M54" s="16" t="s">
        <v>78</v>
      </c>
      <c r="N54" s="37">
        <f>N35</f>
        <v>7.5</v>
      </c>
      <c r="O54" s="16" t="str">
        <f>O32</f>
        <v>MWh</v>
      </c>
      <c r="P54" s="54">
        <f t="shared" ref="P54:P57" si="6">IF($N$13="No",0,L54*N54*12)</f>
        <v>0</v>
      </c>
    </row>
    <row r="55" spans="1:16" x14ac:dyDescent="0.2">
      <c r="A55" s="15"/>
      <c r="B55" t="s">
        <v>90</v>
      </c>
      <c r="F55" s="194">
        <f>INDEX(Lookup!$C$15:$Z$15,1,MATCH($J$6,Lookup!$C$1:$Z$1,0))</f>
        <v>-2259</v>
      </c>
      <c r="G55" s="16" t="s">
        <v>78</v>
      </c>
      <c r="H55" s="37">
        <f>H36</f>
        <v>9.5</v>
      </c>
      <c r="I55" s="16" t="str">
        <f>I32</f>
        <v>MWh</v>
      </c>
      <c r="J55" s="54">
        <f t="shared" si="5"/>
        <v>0</v>
      </c>
      <c r="L55" s="195">
        <f>INDEX(Lookup!$C$15:$Z$15,1,MATCH($P$6,Lookup!$C$1:$Z$1,0))</f>
        <v>-2259</v>
      </c>
      <c r="M55" s="16" t="s">
        <v>78</v>
      </c>
      <c r="N55" s="37">
        <f>N36</f>
        <v>9.5</v>
      </c>
      <c r="O55" s="16" t="str">
        <f>O32</f>
        <v>MWh</v>
      </c>
      <c r="P55" s="54">
        <f t="shared" si="6"/>
        <v>0</v>
      </c>
    </row>
    <row r="56" spans="1:16" x14ac:dyDescent="0.2">
      <c r="A56" s="15"/>
      <c r="B56" t="s">
        <v>92</v>
      </c>
      <c r="F56" s="194">
        <f>INDEX(Lookup!$C$16:$Z$16,1,MATCH($J$6,Lookup!$C$1:$Z$1,0))</f>
        <v>-1576</v>
      </c>
      <c r="G56" s="16" t="s">
        <v>78</v>
      </c>
      <c r="H56" s="37">
        <f>H37</f>
        <v>22.060000000000002</v>
      </c>
      <c r="I56" s="16" t="str">
        <f>I32</f>
        <v>MWh</v>
      </c>
      <c r="J56" s="54">
        <f t="shared" si="5"/>
        <v>0</v>
      </c>
      <c r="L56" s="195">
        <f>INDEX(Lookup!$C$16:$Z$16,1,MATCH($P$6,Lookup!$C$1:$Z$1,0))</f>
        <v>-1576</v>
      </c>
      <c r="M56" s="16" t="s">
        <v>78</v>
      </c>
      <c r="N56" s="37">
        <f>N37</f>
        <v>22.060000000000002</v>
      </c>
      <c r="O56" s="16" t="str">
        <f>O32</f>
        <v>MWh</v>
      </c>
      <c r="P56" s="54">
        <f t="shared" si="6"/>
        <v>0</v>
      </c>
    </row>
    <row r="57" spans="1:16" x14ac:dyDescent="0.2">
      <c r="A57" s="21"/>
      <c r="B57" s="19" t="s">
        <v>94</v>
      </c>
      <c r="C57" s="19"/>
      <c r="D57" s="19"/>
      <c r="E57" s="19"/>
      <c r="F57" s="194">
        <f>INDEX(Lookup!$C$17:$Z$17,1,MATCH($J$6,Lookup!$C$1:$Z$1,0))</f>
        <v>-1292</v>
      </c>
      <c r="G57" s="20" t="s">
        <v>78</v>
      </c>
      <c r="H57" s="46">
        <f>H38</f>
        <v>0</v>
      </c>
      <c r="I57" s="20" t="str">
        <f>I32</f>
        <v>MWh</v>
      </c>
      <c r="J57" s="57">
        <f t="shared" si="5"/>
        <v>0</v>
      </c>
      <c r="L57" s="196">
        <f>INDEX(Lookup!$C$17:$Z$17,1,MATCH($P$6,Lookup!$C$1:$Z$1,0))</f>
        <v>-1292</v>
      </c>
      <c r="M57" s="20" t="s">
        <v>78</v>
      </c>
      <c r="N57" s="46">
        <f>N38</f>
        <v>0</v>
      </c>
      <c r="O57" s="20" t="str">
        <f>O32</f>
        <v>MWh</v>
      </c>
      <c r="P57" s="57">
        <f t="shared" si="6"/>
        <v>0</v>
      </c>
    </row>
    <row r="58" spans="1:16" x14ac:dyDescent="0.2">
      <c r="A58" s="22" t="s">
        <v>109</v>
      </c>
      <c r="B58" s="23"/>
      <c r="C58" s="23"/>
      <c r="D58" s="23"/>
      <c r="E58" s="23"/>
      <c r="F58" s="24"/>
      <c r="G58" s="25"/>
      <c r="H58" s="49"/>
      <c r="I58" s="25"/>
      <c r="J58" s="60">
        <f>SUM(J53:J57)</f>
        <v>0</v>
      </c>
      <c r="L58" s="22" t="s">
        <v>109</v>
      </c>
      <c r="M58" s="25"/>
      <c r="N58" s="49"/>
      <c r="O58" s="25"/>
      <c r="P58" s="60">
        <f>SUM(P53:P57)</f>
        <v>0</v>
      </c>
    </row>
    <row r="59" spans="1:16" ht="9" customHeight="1" x14ac:dyDescent="0.2">
      <c r="J59" s="7"/>
      <c r="P59" s="7"/>
    </row>
    <row r="60" spans="1:16" x14ac:dyDescent="0.2">
      <c r="A60" s="22" t="s">
        <v>110</v>
      </c>
      <c r="B60" s="23"/>
      <c r="C60" s="23"/>
      <c r="D60" s="23"/>
      <c r="E60" s="23"/>
      <c r="F60" s="24"/>
      <c r="G60" s="25"/>
      <c r="H60" s="49"/>
      <c r="I60" s="25"/>
      <c r="J60" s="60">
        <f>SUM(J50,J58)</f>
        <v>5883626.0232382724</v>
      </c>
      <c r="L60" s="221" t="s">
        <v>110</v>
      </c>
      <c r="M60" s="222"/>
      <c r="N60" s="223"/>
      <c r="O60" s="222"/>
      <c r="P60" s="224">
        <f>SUM(P50,P58)</f>
        <v>6314912.5930239409</v>
      </c>
    </row>
    <row r="61" spans="1:16" ht="12.75" customHeight="1" x14ac:dyDescent="0.2">
      <c r="J61" s="7"/>
      <c r="L61" s="225" t="s">
        <v>111</v>
      </c>
      <c r="M61" s="226"/>
      <c r="N61" s="226"/>
      <c r="O61" s="226"/>
      <c r="P61" s="227">
        <f>P60/J60-1</f>
        <v>7.3302852370670246E-2</v>
      </c>
    </row>
    <row r="62" spans="1:16" ht="9" customHeight="1" x14ac:dyDescent="0.2">
      <c r="J62" s="7"/>
      <c r="P62" s="7"/>
    </row>
    <row r="63" spans="1:16" x14ac:dyDescent="0.2">
      <c r="A63" s="22" t="s">
        <v>112</v>
      </c>
      <c r="B63" s="23"/>
      <c r="C63" s="23"/>
      <c r="D63" s="23"/>
      <c r="E63" s="23"/>
      <c r="F63" s="27"/>
      <c r="G63" s="25"/>
      <c r="H63" s="26"/>
      <c r="I63" s="25"/>
      <c r="J63" s="60">
        <f>INDEX('Site Data Input'!$M$2:$M$6,MATCH($P$7,'Site Data Input'!$A$2:$A$6),1)</f>
        <v>8961157.1598473284</v>
      </c>
      <c r="L63" s="214" t="s">
        <v>112</v>
      </c>
      <c r="M63" s="215"/>
      <c r="N63" s="216">
        <f>N17</f>
        <v>199592.55938932311</v>
      </c>
      <c r="O63" s="217" t="s">
        <v>56</v>
      </c>
      <c r="P63" s="218">
        <f>N63*$N$21</f>
        <v>8961157.1598473284</v>
      </c>
    </row>
    <row r="64" spans="1:16" ht="9" customHeight="1" x14ac:dyDescent="0.2">
      <c r="J64" s="7"/>
      <c r="P64" s="7"/>
    </row>
    <row r="65" spans="1:16" x14ac:dyDescent="0.2">
      <c r="A65" s="5" t="s">
        <v>113</v>
      </c>
      <c r="B65" s="5"/>
      <c r="C65" s="5"/>
      <c r="D65" s="5"/>
      <c r="E65" s="5"/>
      <c r="F65" s="5"/>
      <c r="G65" s="5"/>
      <c r="H65" s="5"/>
      <c r="I65" s="5"/>
      <c r="J65" s="61">
        <f>SUM(J60,J63)</f>
        <v>14844783.183085602</v>
      </c>
      <c r="L65" s="5" t="s">
        <v>113</v>
      </c>
      <c r="M65" s="5"/>
      <c r="N65" s="5"/>
      <c r="O65" s="5"/>
      <c r="P65" s="61">
        <f>SUM(P60,P63)</f>
        <v>15276069.752871269</v>
      </c>
    </row>
    <row r="66" spans="1:16" ht="12.75" customHeight="1" x14ac:dyDescent="0.2">
      <c r="J66" s="7"/>
      <c r="L66" s="209" t="s">
        <v>114</v>
      </c>
      <c r="M66" s="210"/>
      <c r="N66" s="210"/>
      <c r="O66" s="210"/>
      <c r="P66" s="211">
        <f>P65/J65-1</f>
        <v>2.9053073020095299E-2</v>
      </c>
    </row>
  </sheetData>
  <mergeCells count="12">
    <mergeCell ref="N11:O11"/>
    <mergeCell ref="A25:J25"/>
    <mergeCell ref="C1:H1"/>
    <mergeCell ref="C2:H2"/>
    <mergeCell ref="C3:H3"/>
    <mergeCell ref="C4:E4"/>
    <mergeCell ref="H11:I11"/>
    <mergeCell ref="A24:E24"/>
    <mergeCell ref="F24:G24"/>
    <mergeCell ref="H24:I24"/>
    <mergeCell ref="L24:M24"/>
    <mergeCell ref="N24:O24"/>
  </mergeCells>
  <conditionalFormatting sqref="A52:J57">
    <cfRule type="expression" dxfId="23" priority="4">
      <formula>$H$13="No"</formula>
    </cfRule>
  </conditionalFormatting>
  <conditionalFormatting sqref="L52:P52 M53:P57">
    <cfRule type="expression" dxfId="22" priority="3">
      <formula>$N$13="No"</formula>
    </cfRule>
  </conditionalFormatting>
  <conditionalFormatting sqref="L53">
    <cfRule type="expression" dxfId="21" priority="2">
      <formula>$H$13="No"</formula>
    </cfRule>
  </conditionalFormatting>
  <conditionalFormatting sqref="L54:L57">
    <cfRule type="expression" dxfId="20" priority="1">
      <formula>$H$13="No"</formula>
    </cfRule>
  </conditionalFormatting>
  <dataValidations count="6">
    <dataValidation allowBlank="1" showErrorMessage="1" promptTitle="Reference" prompt="For more information, see the definition of metered demand in the Consolidated Authoritative Documents Glossary." sqref="M12:M15 M20:M22 G12:G22" xr:uid="{84A2F8E1-B7F6-4930-B4E2-2EAE8472DA21}"/>
    <dataValidation allowBlank="1" showInputMessage="1" showErrorMessage="1" promptTitle="Reference" prompt="For more information, see the definition of billing capacity in the Consolidated Authoritative Documents Glossary." sqref="M20 G17" xr:uid="{5131039B-330D-4A4A-9CEC-D02279A22D39}"/>
    <dataValidation allowBlank="1" showInputMessage="1" sqref="C4:F4 C1:H3 L9 P7 N6:N8 O6:P6" xr:uid="{C597E58A-7B8A-4325-A15F-A5B41C063253}"/>
    <dataValidation allowBlank="1" showErrorMessage="1" sqref="H13" xr:uid="{2EC608E9-DF95-4454-90ED-AAD15A5BBEF5}"/>
    <dataValidation allowBlank="1" showInputMessage="1" showErrorMessage="1" promptTitle="Reference" prompt="For more information, see subsection 4(2) of Rate DTS: Demand Transmission Service in the ISO tariff." sqref="G19" xr:uid="{AB53ED2C-73BB-4A8D-9CBF-0074056976DD}"/>
    <dataValidation allowBlank="1" showInputMessage="1" showErrorMessage="1" promptTitle="Reference" prompt="For more information, see subsection 7(b) of Rate DTS: Demand Transmission Service in the ISO tariff." sqref="G20" xr:uid="{96F6D47B-C961-4AED-9F48-44F441F8F239}"/>
  </dataValidations>
  <printOptions horizontalCentered="1"/>
  <pageMargins left="0.25" right="0.25" top="0.5" bottom="0.5" header="0.3" footer="0.3"/>
  <pageSetup scale="93" orientation="portrait" r:id="rId1"/>
  <headerFooter alignWithMargins="0">
    <oddFooter>&amp;L&amp;8Attachment to Bill Estimator for 2021 Tariff (AESO ID #2021-015T)
Filename: &amp;F — Page&amp;P of &amp;N&amp;R&amp;8Confidentiality: Proprietary When Completed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66"/>
  <sheetViews>
    <sheetView showGridLines="0" zoomScale="85" zoomScaleNormal="85" workbookViewId="0">
      <selection activeCell="H22" sqref="H22"/>
    </sheetView>
  </sheetViews>
  <sheetFormatPr defaultColWidth="9.5703125" defaultRowHeight="12.75" x14ac:dyDescent="0.2"/>
  <cols>
    <col min="1" max="1" width="7.42578125" customWidth="1"/>
    <col min="2" max="2" width="8.42578125" customWidth="1"/>
    <col min="3" max="3" width="26.5703125" customWidth="1"/>
    <col min="4" max="4" width="8.5703125" customWidth="1"/>
    <col min="5" max="6" width="10.5703125" customWidth="1"/>
    <col min="7" max="7" width="15.7109375" customWidth="1"/>
    <col min="8" max="9" width="10.42578125" customWidth="1"/>
    <col min="10" max="10" width="15.7109375" customWidth="1"/>
    <col min="12" max="12" width="10.5703125" customWidth="1"/>
    <col min="13" max="13" width="15.28515625" customWidth="1"/>
    <col min="14" max="15" width="10.42578125" customWidth="1"/>
    <col min="16" max="16" width="15.140625" customWidth="1"/>
  </cols>
  <sheetData>
    <row r="1" spans="1:16" ht="18.75" x14ac:dyDescent="0.4">
      <c r="A1" s="41" t="s">
        <v>20</v>
      </c>
      <c r="C1" s="266" t="str">
        <f>ParticipantName</f>
        <v>DFO</v>
      </c>
      <c r="D1" s="266"/>
      <c r="E1" s="266"/>
      <c r="F1" s="266"/>
      <c r="G1" s="266"/>
      <c r="H1" s="266"/>
      <c r="L1" s="160" t="s">
        <v>148</v>
      </c>
      <c r="M1" s="160"/>
      <c r="N1" s="160"/>
      <c r="O1" s="160"/>
      <c r="P1" s="146">
        <f>$P$61</f>
        <v>5.653330776212151E-2</v>
      </c>
    </row>
    <row r="2" spans="1:16" x14ac:dyDescent="0.2">
      <c r="A2" s="41" t="s">
        <v>21</v>
      </c>
      <c r="C2" s="266" t="str">
        <f>SiteDescription</f>
        <v>Sample Site</v>
      </c>
      <c r="D2" s="266"/>
      <c r="E2" s="266"/>
      <c r="F2" s="266"/>
      <c r="G2" s="266"/>
      <c r="H2" s="266"/>
    </row>
    <row r="3" spans="1:16" x14ac:dyDescent="0.2">
      <c r="A3" t="s">
        <v>34</v>
      </c>
      <c r="C3" s="266" t="str">
        <f>AccountID</f>
        <v>1000XXXXX</v>
      </c>
      <c r="D3" s="266"/>
      <c r="E3" s="266"/>
      <c r="F3" s="266"/>
      <c r="G3" s="266"/>
      <c r="H3" s="266"/>
    </row>
    <row r="4" spans="1:16" x14ac:dyDescent="0.2">
      <c r="A4" t="s">
        <v>23</v>
      </c>
      <c r="C4" s="269">
        <f ca="1">TODAY()</f>
        <v>44292</v>
      </c>
      <c r="D4" s="269"/>
      <c r="E4" s="269"/>
      <c r="F4" s="41"/>
      <c r="G4" s="34"/>
      <c r="H4" s="35"/>
    </row>
    <row r="5" spans="1:16" s="4" customFormat="1" ht="7.15" customHeight="1" x14ac:dyDescent="0.15"/>
    <row r="6" spans="1:16" x14ac:dyDescent="0.2">
      <c r="I6" s="36" t="s">
        <v>35</v>
      </c>
      <c r="J6" s="106" t="s">
        <v>36</v>
      </c>
      <c r="O6" s="36" t="s">
        <v>35</v>
      </c>
      <c r="P6" s="106" t="s">
        <v>37</v>
      </c>
    </row>
    <row r="7" spans="1:16" ht="15.75" x14ac:dyDescent="0.25">
      <c r="I7" s="112"/>
      <c r="O7" s="142" t="s">
        <v>38</v>
      </c>
      <c r="P7" s="108">
        <v>2019</v>
      </c>
    </row>
    <row r="9" spans="1:16" x14ac:dyDescent="0.2">
      <c r="I9" s="36"/>
      <c r="J9" s="107"/>
      <c r="L9" s="41"/>
      <c r="M9" s="34"/>
      <c r="N9" s="35"/>
      <c r="O9" s="36"/>
      <c r="P9" s="107"/>
    </row>
    <row r="10" spans="1:16" x14ac:dyDescent="0.2">
      <c r="J10" s="8"/>
      <c r="M10" s="41" t="s">
        <v>41</v>
      </c>
      <c r="P10" s="8"/>
    </row>
    <row r="11" spans="1:16" x14ac:dyDescent="0.2">
      <c r="B11" s="6" t="s">
        <v>39</v>
      </c>
      <c r="C11" s="6"/>
      <c r="D11" s="6"/>
      <c r="E11" s="6"/>
      <c r="F11" s="6" t="s">
        <v>40</v>
      </c>
      <c r="G11" s="6" t="s">
        <v>41</v>
      </c>
      <c r="H11" s="262" t="s">
        <v>146</v>
      </c>
      <c r="I11" s="262"/>
      <c r="K11" s="6"/>
      <c r="L11" s="6" t="s">
        <v>149</v>
      </c>
      <c r="M11" s="6" t="s">
        <v>150</v>
      </c>
      <c r="N11" s="262" t="s">
        <v>146</v>
      </c>
      <c r="O11" s="262"/>
    </row>
    <row r="12" spans="1:16" x14ac:dyDescent="0.2">
      <c r="B12" s="112" t="s">
        <v>43</v>
      </c>
      <c r="C12" t="s">
        <v>44</v>
      </c>
      <c r="G12" s="8"/>
      <c r="H12" s="39">
        <f>INDEX('Site Data Input'!$E$2:$E$6,MATCH($P$7,'Site Data Input'!$A$2:$A$6),1)</f>
        <v>1</v>
      </c>
      <c r="M12" s="8"/>
      <c r="N12" s="39">
        <f t="shared" ref="N12:N22" si="0">H12</f>
        <v>1</v>
      </c>
    </row>
    <row r="13" spans="1:16" x14ac:dyDescent="0.2">
      <c r="B13" s="112" t="s">
        <v>45</v>
      </c>
      <c r="C13" s="41" t="s">
        <v>46</v>
      </c>
      <c r="G13" s="8"/>
      <c r="H13" s="125" t="str">
        <f>INDEX('Site Data Input'!$F$2:$F$6,MATCH($P$7,'Site Data Input'!$A$2:$A$6),1)</f>
        <v>No</v>
      </c>
      <c r="M13" s="8"/>
      <c r="N13" s="39" t="str">
        <f t="shared" si="0"/>
        <v>No</v>
      </c>
    </row>
    <row r="14" spans="1:16" x14ac:dyDescent="0.2">
      <c r="B14" s="112" t="s">
        <v>47</v>
      </c>
      <c r="C14" t="s">
        <v>48</v>
      </c>
      <c r="G14" s="37">
        <f>INDEX('Site Data Input'!$L$2:$L$6,MATCH($P$7,'Site Data Input'!$A$2:$A$6),1)/12</f>
        <v>28.08916983545377</v>
      </c>
      <c r="H14" s="37">
        <f>G14*12</f>
        <v>337.07003802544523</v>
      </c>
      <c r="I14" s="41" t="s">
        <v>49</v>
      </c>
      <c r="M14" s="6"/>
      <c r="N14" s="37">
        <f t="shared" si="0"/>
        <v>337.07003802544523</v>
      </c>
      <c r="O14" s="41" t="s">
        <v>49</v>
      </c>
    </row>
    <row r="15" spans="1:16" x14ac:dyDescent="0.2">
      <c r="B15" s="112" t="s">
        <v>50</v>
      </c>
      <c r="C15" t="s">
        <v>77</v>
      </c>
      <c r="F15" s="123">
        <f>H15/H14</f>
        <v>0.73277894902985929</v>
      </c>
      <c r="G15" s="37">
        <f>INDEX('Site Data Input'!$I$2:$I$6,MATCH($P$7,'Site Data Input'!$A$2:$A$6),1)/12</f>
        <v>20.583152351145038</v>
      </c>
      <c r="H15" s="37">
        <f>G15*12</f>
        <v>246.99782821374046</v>
      </c>
      <c r="I15" s="41" t="s">
        <v>49</v>
      </c>
      <c r="M15" s="6"/>
      <c r="N15" s="174">
        <f t="shared" si="0"/>
        <v>246.99782821374046</v>
      </c>
      <c r="O15" s="41" t="s">
        <v>49</v>
      </c>
    </row>
    <row r="16" spans="1:16" x14ac:dyDescent="0.2">
      <c r="B16" s="112" t="s">
        <v>54</v>
      </c>
      <c r="C16" s="41" t="s">
        <v>53</v>
      </c>
      <c r="G16" s="122">
        <f>INDEX('Site Data Input'!$G$2:$G$6,MATCH($P$7,'Site Data Input'!$A$2:$A$6),1)</f>
        <v>43.4</v>
      </c>
      <c r="H16" s="124">
        <f>G16</f>
        <v>43.4</v>
      </c>
      <c r="I16" s="41" t="s">
        <v>49</v>
      </c>
      <c r="M16" s="6"/>
      <c r="N16" s="37">
        <f t="shared" si="0"/>
        <v>43.4</v>
      </c>
      <c r="O16" s="41" t="s">
        <v>49</v>
      </c>
    </row>
    <row r="17" spans="1:16" x14ac:dyDescent="0.2">
      <c r="B17" s="112" t="s">
        <v>57</v>
      </c>
      <c r="C17" t="s">
        <v>55</v>
      </c>
      <c r="F17" s="123">
        <f>H17/(G14*VLOOKUP($P$7,Year_hours,2,FALSE))</f>
        <v>0.84271641228561678</v>
      </c>
      <c r="G17" s="38">
        <f>H17/12</f>
        <v>17279.97923230493</v>
      </c>
      <c r="H17" s="38">
        <f>INDEX('Site Data Input'!$H$2:$H$6,MATCH($P$7,'Site Data Input'!$A$2:$A$6),1)</f>
        <v>207359.75078765914</v>
      </c>
      <c r="I17" s="41" t="s">
        <v>56</v>
      </c>
      <c r="M17" s="6"/>
      <c r="N17" s="38">
        <f t="shared" si="0"/>
        <v>207359.75078765914</v>
      </c>
      <c r="O17" s="41" t="s">
        <v>56</v>
      </c>
    </row>
    <row r="18" spans="1:16" x14ac:dyDescent="0.2">
      <c r="B18" s="112" t="s">
        <v>59</v>
      </c>
      <c r="C18" t="s">
        <v>58</v>
      </c>
      <c r="G18" s="37">
        <f>H18/12</f>
        <v>39.06</v>
      </c>
      <c r="H18" s="37">
        <f>MAX(G14,G16*90%)*12</f>
        <v>468.72</v>
      </c>
      <c r="I18" s="41" t="s">
        <v>49</v>
      </c>
      <c r="M18" s="158"/>
      <c r="N18" s="37">
        <f t="shared" si="0"/>
        <v>468.72</v>
      </c>
      <c r="O18" s="41" t="s">
        <v>49</v>
      </c>
    </row>
    <row r="19" spans="1:16" x14ac:dyDescent="0.2">
      <c r="B19" s="112" t="s">
        <v>61</v>
      </c>
      <c r="C19" t="s">
        <v>60</v>
      </c>
      <c r="G19" s="8"/>
      <c r="H19" s="151">
        <f>INDEX('Site Data Input'!$N$2:$N$6,MATCH($P$7,'Site Data Input'!$A$2:$A$6),1)/(INDEX('Site Data Input'!$H$2:$H$6,MATCH($P$7,'Site Data Input'!$A$2:$A$6),1)*$H$22)</f>
        <v>6.4476202657861678E-2</v>
      </c>
      <c r="I19" s="16"/>
      <c r="M19" s="6"/>
      <c r="N19" s="94">
        <f t="shared" si="0"/>
        <v>6.4476202657861678E-2</v>
      </c>
      <c r="O19" s="16"/>
    </row>
    <row r="20" spans="1:16" x14ac:dyDescent="0.2">
      <c r="B20" s="112" t="s">
        <v>147</v>
      </c>
      <c r="C20" s="41" t="s">
        <v>153</v>
      </c>
      <c r="G20" s="92"/>
      <c r="H20" s="37">
        <f>INDEX('Site Data Input'!$R$2:$R$6,MATCH($P$7,'Site Data Input'!$A$2:$A$6),1)/INDEX(Lookup!$C$24:$Z$24,1,MATCH($J$6,Lookup!$C$1:$Z$1,0))</f>
        <v>0</v>
      </c>
      <c r="I20" s="41" t="s">
        <v>63</v>
      </c>
      <c r="M20" s="92"/>
      <c r="N20" s="37">
        <f t="shared" si="0"/>
        <v>0</v>
      </c>
      <c r="O20" s="41" t="s">
        <v>63</v>
      </c>
    </row>
    <row r="21" spans="1:16" x14ac:dyDescent="0.2">
      <c r="B21" s="112" t="s">
        <v>64</v>
      </c>
      <c r="C21" s="41" t="s">
        <v>65</v>
      </c>
      <c r="G21" s="8"/>
      <c r="H21" s="93">
        <f>INDEX('Site Data Input'!$M$2:$M$6,MATCH($P$7,'Site Data Input'!$A$2:$A$6),1)/INDEX('Site Data Input'!$H$2:$H$6,MATCH($P$7,'Site Data Input'!$A$2:$A$6),1)</f>
        <v>51.875511359955233</v>
      </c>
      <c r="I21" s="16" t="s">
        <v>66</v>
      </c>
      <c r="M21" s="8"/>
      <c r="N21" s="93">
        <f t="shared" si="0"/>
        <v>51.875511359955233</v>
      </c>
      <c r="O21" s="16" t="s">
        <v>66</v>
      </c>
    </row>
    <row r="22" spans="1:16" x14ac:dyDescent="0.2">
      <c r="B22" s="112" t="s">
        <v>67</v>
      </c>
      <c r="C22" s="41" t="s">
        <v>68</v>
      </c>
      <c r="G22" s="8"/>
      <c r="H22" s="93">
        <f>INDEX(Lookup!$C$18:$Z$18,1,MATCH($P$7,Lookup!$C$1:$Z$1,0))</f>
        <v>54.88</v>
      </c>
      <c r="I22" s="16" t="s">
        <v>66</v>
      </c>
      <c r="M22" s="8"/>
      <c r="N22" s="93">
        <f t="shared" si="0"/>
        <v>54.88</v>
      </c>
      <c r="O22" s="16" t="s">
        <v>66</v>
      </c>
    </row>
    <row r="24" spans="1:16" x14ac:dyDescent="0.2">
      <c r="A24" s="262" t="s">
        <v>69</v>
      </c>
      <c r="B24" s="262"/>
      <c r="C24" s="262"/>
      <c r="D24" s="262"/>
      <c r="E24" s="262"/>
      <c r="F24" s="262" t="s">
        <v>70</v>
      </c>
      <c r="G24" s="262"/>
      <c r="H24" s="262" t="s">
        <v>71</v>
      </c>
      <c r="I24" s="262"/>
      <c r="J24" s="40" t="s">
        <v>72</v>
      </c>
      <c r="L24" s="262" t="s">
        <v>70</v>
      </c>
      <c r="M24" s="262"/>
      <c r="N24" s="262" t="s">
        <v>71</v>
      </c>
      <c r="O24" s="262"/>
      <c r="P24" s="40" t="s">
        <v>72</v>
      </c>
    </row>
    <row r="25" spans="1:16" s="41" customFormat="1" x14ac:dyDescent="0.2">
      <c r="A25" s="263" t="s">
        <v>73</v>
      </c>
      <c r="B25" s="264"/>
      <c r="C25" s="264"/>
      <c r="D25" s="264"/>
      <c r="E25" s="264"/>
      <c r="F25" s="264"/>
      <c r="G25" s="264"/>
      <c r="H25" s="264"/>
      <c r="I25" s="264"/>
      <c r="J25" s="265"/>
      <c r="L25" s="228" t="s">
        <v>73</v>
      </c>
      <c r="M25" s="229"/>
      <c r="N25" s="229"/>
      <c r="O25" s="229"/>
      <c r="P25" s="230"/>
    </row>
    <row r="26" spans="1:16" x14ac:dyDescent="0.2">
      <c r="A26" s="5" t="s">
        <v>74</v>
      </c>
      <c r="C26" s="5"/>
      <c r="D26" s="5"/>
      <c r="E26" s="5"/>
      <c r="F26" s="5"/>
      <c r="G26" s="5"/>
      <c r="H26" s="42"/>
      <c r="I26" s="5"/>
      <c r="J26" s="9"/>
      <c r="L26" s="5"/>
      <c r="M26" s="5"/>
      <c r="N26" s="42"/>
      <c r="O26" s="5"/>
      <c r="P26" s="9"/>
    </row>
    <row r="27" spans="1:16" x14ac:dyDescent="0.2">
      <c r="A27" s="28" t="s">
        <v>75</v>
      </c>
      <c r="B27" s="29"/>
      <c r="C27" s="29"/>
      <c r="D27" s="29"/>
      <c r="E27" s="29"/>
      <c r="F27" s="30"/>
      <c r="G27" s="29"/>
      <c r="H27" s="43"/>
      <c r="I27" s="29"/>
      <c r="J27" s="53"/>
      <c r="L27" s="113"/>
      <c r="M27" s="29"/>
      <c r="N27" s="43"/>
      <c r="O27" s="29"/>
      <c r="P27" s="53"/>
    </row>
    <row r="28" spans="1:16" x14ac:dyDescent="0.2">
      <c r="A28" s="15" t="s">
        <v>76</v>
      </c>
      <c r="B28" t="s">
        <v>77</v>
      </c>
      <c r="F28" s="88">
        <f>INDEX(Lookup!$C$4:$Z$4,1,MATCH($J$6,Lookup!$C$1:$Z$1,0))</f>
        <v>10087</v>
      </c>
      <c r="G28" s="16" t="s">
        <v>78</v>
      </c>
      <c r="H28" s="37">
        <f>H15</f>
        <v>246.99782821374046</v>
      </c>
      <c r="I28" s="16" t="str">
        <f>I15</f>
        <v>MW</v>
      </c>
      <c r="J28" s="54">
        <f>F28*H28</f>
        <v>2491467.0931919999</v>
      </c>
      <c r="L28" s="114">
        <f>INDEX(Lookup!$C$4:$Z$4,1,MATCH($P$6,Lookup!$C$1:$Z$1,0))</f>
        <v>5980</v>
      </c>
      <c r="M28" s="16" t="s">
        <v>78</v>
      </c>
      <c r="N28" s="37">
        <f>N15</f>
        <v>246.99782821374046</v>
      </c>
      <c r="O28" s="16" t="str">
        <f>O15</f>
        <v>MW</v>
      </c>
      <c r="P28" s="54">
        <f>L28*N28</f>
        <v>1477047.0127181679</v>
      </c>
    </row>
    <row r="29" spans="1:16" x14ac:dyDescent="0.2">
      <c r="A29" s="31" t="s">
        <v>79</v>
      </c>
      <c r="B29" s="32"/>
      <c r="C29" s="32"/>
      <c r="D29" s="32"/>
      <c r="E29" s="32"/>
      <c r="F29" s="33"/>
      <c r="G29" s="32"/>
      <c r="H29" s="45"/>
      <c r="I29" s="32"/>
      <c r="J29" s="56"/>
      <c r="L29" s="115"/>
      <c r="M29" s="32"/>
      <c r="N29" s="45"/>
      <c r="O29" s="32"/>
      <c r="P29" s="56"/>
    </row>
    <row r="30" spans="1:16" x14ac:dyDescent="0.2">
      <c r="A30" s="77" t="s">
        <v>80</v>
      </c>
      <c r="B30" t="s">
        <v>58</v>
      </c>
      <c r="F30" s="88">
        <f>INDEX(Lookup!$C$6:$Z$6,1,MATCH($J$6,Lookup!$C$1:$Z$1,0))</f>
        <v>2668</v>
      </c>
      <c r="G30" s="16" t="s">
        <v>78</v>
      </c>
      <c r="H30" s="37">
        <f>H18</f>
        <v>468.72</v>
      </c>
      <c r="I30" s="16" t="str">
        <f>I18</f>
        <v>MW</v>
      </c>
      <c r="J30" s="54">
        <f>F30*H30</f>
        <v>1250544.96</v>
      </c>
      <c r="L30" s="114">
        <f>INDEX(Lookup!$C$6:$Z$6,1,MATCH($P$6,Lookup!$C$1:$Z$1,0))</f>
        <v>2055</v>
      </c>
      <c r="M30" s="16" t="s">
        <v>78</v>
      </c>
      <c r="N30" s="37">
        <f>N18</f>
        <v>468.72</v>
      </c>
      <c r="O30" s="16" t="str">
        <f>O18</f>
        <v>MW</v>
      </c>
      <c r="P30" s="54">
        <f>L30*N30</f>
        <v>963219.60000000009</v>
      </c>
    </row>
    <row r="31" spans="1:16" x14ac:dyDescent="0.2">
      <c r="A31" s="31" t="s">
        <v>81</v>
      </c>
      <c r="B31" s="32"/>
      <c r="C31" s="32"/>
      <c r="D31" s="32"/>
      <c r="E31" s="32"/>
      <c r="F31" s="33"/>
      <c r="G31" s="32"/>
      <c r="H31" s="45"/>
      <c r="I31" s="32"/>
      <c r="J31" s="56"/>
      <c r="L31" s="115"/>
      <c r="M31" s="32"/>
      <c r="N31" s="45"/>
      <c r="O31" s="32"/>
      <c r="P31" s="56"/>
    </row>
    <row r="32" spans="1:16" x14ac:dyDescent="0.2">
      <c r="A32" s="111" t="s">
        <v>82</v>
      </c>
      <c r="B32" s="17" t="s">
        <v>55</v>
      </c>
      <c r="C32" s="17"/>
      <c r="D32" s="17"/>
      <c r="E32" s="17"/>
      <c r="F32" s="88">
        <f>INDEX(Lookup!$C$7:$Z$7,1,MATCH($J$6,Lookup!$C$1:$Z$1,0))</f>
        <v>2.1799999999999997</v>
      </c>
      <c r="G32" s="18" t="s">
        <v>66</v>
      </c>
      <c r="H32" s="44">
        <f>H17</f>
        <v>207359.75078765914</v>
      </c>
      <c r="I32" s="18" t="str">
        <f>I17</f>
        <v>MWh</v>
      </c>
      <c r="J32" s="55">
        <f>F32*H32</f>
        <v>452044.25671709684</v>
      </c>
      <c r="L32" s="114">
        <f>INDEX(Lookup!$C$7:$Z$7,1,MATCH($P$6,Lookup!$C$1:$Z$1,0))</f>
        <v>10.19</v>
      </c>
      <c r="M32" s="18" t="s">
        <v>66</v>
      </c>
      <c r="N32" s="44">
        <f>N17</f>
        <v>207359.75078765914</v>
      </c>
      <c r="O32" s="18" t="str">
        <f>O17</f>
        <v>MWh</v>
      </c>
      <c r="P32" s="55">
        <f>L32*N32</f>
        <v>2112995.8605262465</v>
      </c>
    </row>
    <row r="33" spans="1:16" x14ac:dyDescent="0.2">
      <c r="A33" s="31" t="s">
        <v>83</v>
      </c>
      <c r="B33" s="32"/>
      <c r="C33" s="32"/>
      <c r="D33" s="32"/>
      <c r="E33" s="32"/>
      <c r="F33" s="33"/>
      <c r="G33" s="32"/>
      <c r="H33" s="45"/>
      <c r="I33" s="32"/>
      <c r="J33" s="56"/>
      <c r="L33" s="115"/>
      <c r="M33" s="32"/>
      <c r="N33" s="45"/>
      <c r="O33" s="32"/>
      <c r="P33" s="56"/>
    </row>
    <row r="34" spans="1:16" x14ac:dyDescent="0.2">
      <c r="A34" s="15" t="s">
        <v>84</v>
      </c>
      <c r="B34" t="s">
        <v>85</v>
      </c>
      <c r="F34" s="88">
        <f>INDEX(Lookup!$C$8:$Z$8,1,MATCH($J$6,Lookup!$C$1:$Z$1,0))</f>
        <v>11278</v>
      </c>
      <c r="G34" s="16" t="s">
        <v>86</v>
      </c>
      <c r="H34" s="39">
        <f>H12</f>
        <v>1</v>
      </c>
      <c r="J34" s="54">
        <f>F34*H34*12</f>
        <v>135336</v>
      </c>
      <c r="L34" s="114">
        <f>INDEX(Lookup!$C$8:$Z$8,1,MATCH($J$6,Lookup!$C$1:$Z$1,0))</f>
        <v>11278</v>
      </c>
      <c r="M34" s="16" t="s">
        <v>86</v>
      </c>
      <c r="N34" s="39">
        <f>N12</f>
        <v>1</v>
      </c>
      <c r="P34" s="54">
        <f>L34*N34*12</f>
        <v>135336</v>
      </c>
    </row>
    <row r="35" spans="1:16" x14ac:dyDescent="0.2">
      <c r="A35" s="15" t="s">
        <v>87</v>
      </c>
      <c r="B35" t="s">
        <v>88</v>
      </c>
      <c r="F35" s="88">
        <f>INDEX(Lookup!$C$9:$Z$9,1,MATCH($J$6,Lookup!$C$1:$Z$1,0))</f>
        <v>4566</v>
      </c>
      <c r="G35" s="16" t="s">
        <v>78</v>
      </c>
      <c r="H35" s="37">
        <f>MIN(G18,7.5*H12)</f>
        <v>7.5</v>
      </c>
      <c r="I35" s="16" t="str">
        <f>I18</f>
        <v>MW</v>
      </c>
      <c r="J35" s="54">
        <f t="shared" ref="J35:J38" si="1">F35*H35*12</f>
        <v>410940</v>
      </c>
      <c r="L35" s="114">
        <f>INDEX(Lookup!$C$9:$Z$9,1,MATCH($J$6,Lookup!$C$1:$Z$1,0))</f>
        <v>4566</v>
      </c>
      <c r="M35" s="16" t="s">
        <v>78</v>
      </c>
      <c r="N35" s="37">
        <f>MIN(N18/12,7.5*N12)</f>
        <v>7.5</v>
      </c>
      <c r="O35" s="16" t="str">
        <f>O18</f>
        <v>MW</v>
      </c>
      <c r="P35" s="54">
        <f t="shared" ref="P35:P38" si="2">L35*N35*12</f>
        <v>410940</v>
      </c>
    </row>
    <row r="36" spans="1:16" x14ac:dyDescent="0.2">
      <c r="A36" s="15" t="s">
        <v>89</v>
      </c>
      <c r="B36" t="s">
        <v>90</v>
      </c>
      <c r="F36" s="88">
        <f>INDEX(Lookup!$C$10:$Z$10,1,MATCH($J$6,Lookup!$C$1:$Z$1,0))</f>
        <v>2860</v>
      </c>
      <c r="G36" s="16" t="s">
        <v>78</v>
      </c>
      <c r="H36" s="37">
        <f>MAX(MIN(G18,17*H12)-(7.5*H12),0)</f>
        <v>9.5</v>
      </c>
      <c r="I36" s="16" t="str">
        <f>I18</f>
        <v>MW</v>
      </c>
      <c r="J36" s="54">
        <f t="shared" si="1"/>
        <v>326040</v>
      </c>
      <c r="L36" s="114">
        <f>INDEX(Lookup!$C$10:$Z$10,1,MATCH($J$6,Lookup!$C$1:$Z$1,0))</f>
        <v>2860</v>
      </c>
      <c r="M36" s="16" t="s">
        <v>78</v>
      </c>
      <c r="N36" s="37">
        <f>MAX(MIN(N18/12,17*N12)-(7.5*N12),0)</f>
        <v>9.5</v>
      </c>
      <c r="O36" s="16" t="str">
        <f>O18</f>
        <v>MW</v>
      </c>
      <c r="P36" s="54">
        <f t="shared" si="2"/>
        <v>326040</v>
      </c>
    </row>
    <row r="37" spans="1:16" x14ac:dyDescent="0.2">
      <c r="A37" s="15" t="s">
        <v>91</v>
      </c>
      <c r="B37" t="s">
        <v>92</v>
      </c>
      <c r="F37" s="88">
        <f>INDEX(Lookup!$C$11:$Z$11,1,MATCH($J$6,Lookup!$C$1:$Z$1,0))</f>
        <v>1995</v>
      </c>
      <c r="G37" s="16" t="s">
        <v>78</v>
      </c>
      <c r="H37" s="37">
        <f>MAX(MIN(G18,40*H12)-(17*H12),0)</f>
        <v>22.060000000000002</v>
      </c>
      <c r="I37" s="16" t="str">
        <f>I18</f>
        <v>MW</v>
      </c>
      <c r="J37" s="54">
        <f t="shared" si="1"/>
        <v>528116.4</v>
      </c>
      <c r="L37" s="114">
        <f>INDEX(Lookup!$C$11:$Z$11,1,MATCH($J$6,Lookup!$C$1:$Z$1,0))</f>
        <v>1995</v>
      </c>
      <c r="M37" s="16" t="s">
        <v>78</v>
      </c>
      <c r="N37" s="37">
        <f>MAX(MIN(N18/12,40*N12)-(17*N12),0)</f>
        <v>22.060000000000002</v>
      </c>
      <c r="O37" s="16" t="str">
        <f>O18</f>
        <v>MW</v>
      </c>
      <c r="P37" s="54">
        <f t="shared" si="2"/>
        <v>528116.4</v>
      </c>
    </row>
    <row r="38" spans="1:16" x14ac:dyDescent="0.2">
      <c r="A38" s="21" t="s">
        <v>93</v>
      </c>
      <c r="B38" s="19" t="s">
        <v>94</v>
      </c>
      <c r="C38" s="19"/>
      <c r="D38" s="19"/>
      <c r="E38" s="19"/>
      <c r="F38" s="89">
        <f>INDEX(Lookup!$C$12:$Z$12,1,MATCH($J$6,Lookup!$C$1:$Z$1,0))</f>
        <v>1292</v>
      </c>
      <c r="G38" s="20" t="s">
        <v>78</v>
      </c>
      <c r="H38" s="46">
        <f>MAX(G18-(40*H12),0)</f>
        <v>0</v>
      </c>
      <c r="I38" s="20" t="str">
        <f>I18</f>
        <v>MW</v>
      </c>
      <c r="J38" s="57">
        <f t="shared" si="1"/>
        <v>0</v>
      </c>
      <c r="L38" s="116">
        <f>INDEX(Lookup!$C$12:$Z$12,1,MATCH($J$6,Lookup!$C$1:$Z$1,0))</f>
        <v>1292</v>
      </c>
      <c r="M38" s="20" t="s">
        <v>78</v>
      </c>
      <c r="N38" s="46">
        <f>MAX(N18/12-(40*N12),0)</f>
        <v>0</v>
      </c>
      <c r="O38" s="20" t="str">
        <f>O18</f>
        <v>MW</v>
      </c>
      <c r="P38" s="57">
        <f t="shared" si="2"/>
        <v>0</v>
      </c>
    </row>
    <row r="39" spans="1:16" ht="12.75" customHeight="1" x14ac:dyDescent="0.2">
      <c r="A39" s="22" t="s">
        <v>95</v>
      </c>
      <c r="B39" s="23"/>
      <c r="C39" s="23"/>
      <c r="D39" s="23"/>
      <c r="E39" s="23"/>
      <c r="F39" s="24"/>
      <c r="G39" s="25"/>
      <c r="H39" s="49"/>
      <c r="I39" s="25"/>
      <c r="J39" s="60">
        <f>SUM(J28:J38)</f>
        <v>5594488.7099090973</v>
      </c>
      <c r="L39" s="22" t="s">
        <v>95</v>
      </c>
      <c r="M39" s="25"/>
      <c r="N39" s="49"/>
      <c r="O39" s="25"/>
      <c r="P39" s="60">
        <f>SUM(P28:P38)</f>
        <v>5953694.8732444141</v>
      </c>
    </row>
    <row r="40" spans="1:16" ht="12.75" customHeight="1" x14ac:dyDescent="0.2">
      <c r="J40" s="7"/>
      <c r="L40" s="193" t="s">
        <v>151</v>
      </c>
      <c r="M40" s="175"/>
      <c r="N40" s="175"/>
      <c r="O40" s="175"/>
      <c r="P40" s="176">
        <f>P39/J39-1</f>
        <v>6.4207147777254781E-2</v>
      </c>
    </row>
    <row r="41" spans="1:16" x14ac:dyDescent="0.2">
      <c r="A41" s="5" t="s">
        <v>96</v>
      </c>
      <c r="C41" s="5"/>
      <c r="D41" s="5"/>
      <c r="E41" s="5"/>
      <c r="F41" s="5"/>
      <c r="G41" s="5"/>
      <c r="H41" s="42"/>
      <c r="I41" s="5"/>
      <c r="J41" s="9"/>
      <c r="L41" s="172"/>
      <c r="M41" s="172"/>
      <c r="N41" s="173"/>
      <c r="O41" s="172"/>
      <c r="P41" s="189"/>
    </row>
    <row r="42" spans="1:16" x14ac:dyDescent="0.2">
      <c r="A42" s="10" t="s">
        <v>97</v>
      </c>
      <c r="B42" s="11" t="s">
        <v>55</v>
      </c>
      <c r="C42" s="11"/>
      <c r="D42" s="51" t="s">
        <v>98</v>
      </c>
      <c r="E42" s="62">
        <f>H19</f>
        <v>6.4476202657861678E-2</v>
      </c>
      <c r="F42" s="52">
        <f>H22</f>
        <v>54.88</v>
      </c>
      <c r="G42" s="50" t="s">
        <v>66</v>
      </c>
      <c r="H42" s="47">
        <f>H17</f>
        <v>207359.75078765914</v>
      </c>
      <c r="I42" s="12" t="str">
        <f>I17</f>
        <v>MWh</v>
      </c>
      <c r="J42" s="58">
        <f>E42*F42*H42</f>
        <v>733732.94</v>
      </c>
      <c r="L42" s="118">
        <f>F42</f>
        <v>54.88</v>
      </c>
      <c r="M42" s="50" t="s">
        <v>66</v>
      </c>
      <c r="N42" s="47">
        <f>N17</f>
        <v>207359.75078765914</v>
      </c>
      <c r="O42" s="12" t="str">
        <f>O17</f>
        <v>MWh</v>
      </c>
      <c r="P42" s="58">
        <f>E42*L42*N42</f>
        <v>733732.94</v>
      </c>
    </row>
    <row r="43" spans="1:16" x14ac:dyDescent="0.2">
      <c r="A43" s="5" t="s">
        <v>99</v>
      </c>
      <c r="C43" s="5"/>
      <c r="D43" s="5"/>
      <c r="E43" s="5"/>
      <c r="F43" s="5"/>
      <c r="G43" s="5"/>
      <c r="H43" s="42"/>
      <c r="I43" s="5"/>
      <c r="J43" s="9"/>
      <c r="L43" s="117"/>
      <c r="M43" s="5"/>
      <c r="N43" s="42"/>
      <c r="O43" s="5"/>
      <c r="P43" s="9"/>
    </row>
    <row r="44" spans="1:16" x14ac:dyDescent="0.2">
      <c r="A44" s="10" t="s">
        <v>100</v>
      </c>
      <c r="B44" s="11" t="s">
        <v>55</v>
      </c>
      <c r="C44" s="11"/>
      <c r="D44" s="11"/>
      <c r="E44" s="11"/>
      <c r="F44" s="90">
        <f>INDEX(Lookup!$C$20:$Z$20,1,MATCH($J$6,Lookup!$C$1:$Z$1,0))</f>
        <v>2E-3</v>
      </c>
      <c r="G44" s="12" t="s">
        <v>66</v>
      </c>
      <c r="H44" s="47">
        <f>H17</f>
        <v>207359.75078765914</v>
      </c>
      <c r="I44" s="12" t="str">
        <f>I17</f>
        <v>MWh</v>
      </c>
      <c r="J44" s="58">
        <f>F44*H44</f>
        <v>414.7195015753183</v>
      </c>
      <c r="L44" s="119">
        <f>INDEX(Lookup!$C$20:$Z$20,1,MATCH($J$6,Lookup!$C$1:$Z$1,0))</f>
        <v>2E-3</v>
      </c>
      <c r="M44" s="12" t="s">
        <v>66</v>
      </c>
      <c r="N44" s="47">
        <f>N17</f>
        <v>207359.75078765914</v>
      </c>
      <c r="O44" s="12" t="str">
        <f>O17</f>
        <v>MWh</v>
      </c>
      <c r="P44" s="58">
        <f>L44*N44</f>
        <v>414.7195015753183</v>
      </c>
    </row>
    <row r="45" spans="1:16" x14ac:dyDescent="0.2">
      <c r="A45" s="5" t="s">
        <v>101</v>
      </c>
      <c r="C45" s="5"/>
      <c r="D45" s="5"/>
      <c r="E45" s="5"/>
      <c r="F45" s="5"/>
      <c r="G45" s="5"/>
      <c r="H45" s="42"/>
      <c r="I45" s="5"/>
      <c r="J45" s="9"/>
      <c r="L45" s="117"/>
      <c r="M45" s="5"/>
      <c r="N45" s="42"/>
      <c r="O45" s="5"/>
      <c r="P45" s="9"/>
    </row>
    <row r="46" spans="1:16" x14ac:dyDescent="0.2">
      <c r="A46" s="74" t="s">
        <v>102</v>
      </c>
      <c r="B46" s="11" t="s">
        <v>55</v>
      </c>
      <c r="C46" s="11"/>
      <c r="D46" s="11"/>
      <c r="E46" s="11"/>
      <c r="F46" s="87">
        <f>INDEX(Lookup!$C$21:$Z$21,1,MATCH($J$6,Lookup!$C$1:$Z$1,0))</f>
        <v>0.06</v>
      </c>
      <c r="G46" s="12" t="s">
        <v>66</v>
      </c>
      <c r="H46" s="47">
        <f>H17</f>
        <v>207359.75078765914</v>
      </c>
      <c r="I46" s="12" t="str">
        <f>I17</f>
        <v>MWh</v>
      </c>
      <c r="J46" s="58">
        <f>F46*H46</f>
        <v>12441.585047259548</v>
      </c>
      <c r="L46" s="120">
        <f>INDEX(Lookup!$C$21:$Z$21,1,MATCH($J$6,Lookup!$C$1:$Z$1,0))</f>
        <v>0.06</v>
      </c>
      <c r="M46" s="12" t="s">
        <v>66</v>
      </c>
      <c r="N46" s="47">
        <f>N17</f>
        <v>207359.75078765914</v>
      </c>
      <c r="O46" s="12" t="str">
        <f>O17</f>
        <v>MWh</v>
      </c>
      <c r="P46" s="58">
        <f>L46*N46</f>
        <v>12441.585047259548</v>
      </c>
    </row>
    <row r="47" spans="1:16" x14ac:dyDescent="0.2">
      <c r="A47" s="5" t="s">
        <v>103</v>
      </c>
      <c r="B47" s="5"/>
      <c r="C47" s="5"/>
      <c r="D47" s="5"/>
      <c r="E47" s="5"/>
      <c r="F47" s="5"/>
      <c r="G47" s="5"/>
      <c r="H47" s="42"/>
      <c r="I47" s="5"/>
      <c r="J47" s="9"/>
      <c r="L47" s="117"/>
      <c r="M47" s="5"/>
      <c r="N47" s="42"/>
      <c r="O47" s="5"/>
      <c r="P47" s="9"/>
    </row>
    <row r="48" spans="1:16" x14ac:dyDescent="0.2">
      <c r="A48" s="75" t="s">
        <v>104</v>
      </c>
      <c r="B48" s="13" t="s">
        <v>48</v>
      </c>
      <c r="C48" s="13"/>
      <c r="D48" s="13"/>
      <c r="E48" s="13"/>
      <c r="F48" s="91">
        <f>INDEX(Lookup!$C$22:$Z$22,1,MATCH($J$6,Lookup!$C$1:$Z$1,0))</f>
        <v>38</v>
      </c>
      <c r="G48" s="14" t="s">
        <v>78</v>
      </c>
      <c r="H48" s="48">
        <f>H14</f>
        <v>337.07003802544523</v>
      </c>
      <c r="I48" s="14" t="str">
        <f>I14</f>
        <v>MW</v>
      </c>
      <c r="J48" s="59">
        <f t="shared" ref="J48:J49" si="3">F48*H48</f>
        <v>12808.661444966918</v>
      </c>
      <c r="L48" s="121">
        <f>INDEX(Lookup!$C$22:$Z$22,1,MATCH($J$6,Lookup!$C$1:$Z$1,0))</f>
        <v>38</v>
      </c>
      <c r="M48" s="14" t="s">
        <v>78</v>
      </c>
      <c r="N48" s="48">
        <f>N14</f>
        <v>337.07003802544523</v>
      </c>
      <c r="O48" s="14" t="str">
        <f>O14</f>
        <v>MW</v>
      </c>
      <c r="P48" s="59">
        <f t="shared" ref="P48:P49" si="4">L48*N48</f>
        <v>12808.661444966918</v>
      </c>
    </row>
    <row r="49" spans="1:16" x14ac:dyDescent="0.2">
      <c r="A49" s="76" t="s">
        <v>105</v>
      </c>
      <c r="B49" s="19" t="s">
        <v>62</v>
      </c>
      <c r="C49" s="19"/>
      <c r="D49" s="19"/>
      <c r="E49" s="19"/>
      <c r="F49" s="89">
        <f>INDEX(Lookup!$C$24:$Z$24,1,MATCH($J$6,Lookup!$C$1:$Z$1,0))</f>
        <v>400</v>
      </c>
      <c r="G49" s="20" t="s">
        <v>106</v>
      </c>
      <c r="H49" s="46">
        <f>H20</f>
        <v>0</v>
      </c>
      <c r="I49" s="20" t="str">
        <f>I20</f>
        <v>MVA</v>
      </c>
      <c r="J49" s="57">
        <f t="shared" si="3"/>
        <v>0</v>
      </c>
      <c r="L49" s="116">
        <f>INDEX(Lookup!$C$24:$Z$24,1,MATCH($J$6,Lookup!$C$1:$Z$1,0))</f>
        <v>400</v>
      </c>
      <c r="M49" s="20" t="s">
        <v>106</v>
      </c>
      <c r="N49" s="46">
        <f>N20</f>
        <v>0</v>
      </c>
      <c r="O49" s="20" t="str">
        <f>O20</f>
        <v>MVA</v>
      </c>
      <c r="P49" s="57">
        <f t="shared" si="4"/>
        <v>0</v>
      </c>
    </row>
    <row r="50" spans="1:16" x14ac:dyDescent="0.2">
      <c r="A50" s="22" t="s">
        <v>107</v>
      </c>
      <c r="B50" s="23"/>
      <c r="C50" s="23"/>
      <c r="D50" s="23"/>
      <c r="E50" s="23"/>
      <c r="F50" s="24"/>
      <c r="G50" s="25"/>
      <c r="H50" s="49"/>
      <c r="I50" s="25"/>
      <c r="J50" s="60">
        <f>SUM(J39:J49)</f>
        <v>6353886.6159028998</v>
      </c>
      <c r="L50" s="22" t="s">
        <v>107</v>
      </c>
      <c r="M50" s="25"/>
      <c r="N50" s="49"/>
      <c r="O50" s="25"/>
      <c r="P50" s="60">
        <f>SUM(P39:P49)</f>
        <v>6713092.8434453635</v>
      </c>
    </row>
    <row r="51" spans="1:16" ht="9" customHeight="1" x14ac:dyDescent="0.2">
      <c r="J51" s="7"/>
      <c r="P51" s="7"/>
    </row>
    <row r="52" spans="1:16" x14ac:dyDescent="0.2">
      <c r="A52" s="28" t="s">
        <v>108</v>
      </c>
      <c r="B52" s="29"/>
      <c r="C52" s="29"/>
      <c r="D52" s="29"/>
      <c r="E52" s="29"/>
      <c r="F52" s="30"/>
      <c r="G52" s="29"/>
      <c r="H52" s="43"/>
      <c r="I52" s="29"/>
      <c r="J52" s="53"/>
      <c r="L52" s="115"/>
      <c r="M52" s="32"/>
      <c r="N52" s="45"/>
      <c r="O52" s="32"/>
      <c r="P52" s="56"/>
    </row>
    <row r="53" spans="1:16" x14ac:dyDescent="0.2">
      <c r="A53" s="15"/>
      <c r="B53" t="s">
        <v>85</v>
      </c>
      <c r="F53" s="194">
        <f>INDEX(Lookup!$C$13:$Z$13,1,MATCH($J$6,Lookup!$C$1:$Z$1,0))</f>
        <v>-8910</v>
      </c>
      <c r="G53" s="16" t="s">
        <v>86</v>
      </c>
      <c r="H53" s="39">
        <f>H12</f>
        <v>1</v>
      </c>
      <c r="J53" s="54">
        <f>IF(H$13="No",0,F53*H53)*12</f>
        <v>0</v>
      </c>
      <c r="L53" s="195">
        <f>INDEX(Lookup!$C$13:$Z$13,1,MATCH($P$6,Lookup!$C$1:$Z$1,0))</f>
        <v>-8910</v>
      </c>
      <c r="M53" s="16" t="s">
        <v>86</v>
      </c>
      <c r="N53" s="39">
        <f>N12</f>
        <v>1</v>
      </c>
      <c r="P53" s="54">
        <f>IF($N$13="No",0,L53*N53*12)</f>
        <v>0</v>
      </c>
    </row>
    <row r="54" spans="1:16" x14ac:dyDescent="0.2">
      <c r="A54" s="15"/>
      <c r="B54" t="s">
        <v>88</v>
      </c>
      <c r="F54" s="194">
        <f>INDEX(Lookup!$C$14:$Z$14,1,MATCH($J$6,Lookup!$C$1:$Z$1,0))</f>
        <v>-3607</v>
      </c>
      <c r="G54" s="16" t="s">
        <v>78</v>
      </c>
      <c r="H54" s="37">
        <f>H35</f>
        <v>7.5</v>
      </c>
      <c r="I54" s="16" t="str">
        <f>I32</f>
        <v>MWh</v>
      </c>
      <c r="J54" s="54">
        <f t="shared" ref="J54:J57" si="5">IF(H$13="No",0,F54*H54)*12</f>
        <v>0</v>
      </c>
      <c r="L54" s="195">
        <f>INDEX(Lookup!$C$14:$Z$14,1,MATCH($P$6,Lookup!$C$1:$Z$1,0))</f>
        <v>-3607</v>
      </c>
      <c r="M54" s="16" t="s">
        <v>78</v>
      </c>
      <c r="N54" s="37">
        <f>N35</f>
        <v>7.5</v>
      </c>
      <c r="O54" s="16" t="str">
        <f>O32</f>
        <v>MWh</v>
      </c>
      <c r="P54" s="54">
        <f t="shared" ref="P54:P57" si="6">IF($N$13="No",0,L54*N54*12)</f>
        <v>0</v>
      </c>
    </row>
    <row r="55" spans="1:16" x14ac:dyDescent="0.2">
      <c r="A55" s="15"/>
      <c r="B55" t="s">
        <v>90</v>
      </c>
      <c r="F55" s="194">
        <f>INDEX(Lookup!$C$15:$Z$15,1,MATCH($J$6,Lookup!$C$1:$Z$1,0))</f>
        <v>-2259</v>
      </c>
      <c r="G55" s="16" t="s">
        <v>78</v>
      </c>
      <c r="H55" s="37">
        <f>H36</f>
        <v>9.5</v>
      </c>
      <c r="I55" s="16" t="str">
        <f>I32</f>
        <v>MWh</v>
      </c>
      <c r="J55" s="54">
        <f t="shared" si="5"/>
        <v>0</v>
      </c>
      <c r="L55" s="195">
        <f>INDEX(Lookup!$C$15:$Z$15,1,MATCH($P$6,Lookup!$C$1:$Z$1,0))</f>
        <v>-2259</v>
      </c>
      <c r="M55" s="16" t="s">
        <v>78</v>
      </c>
      <c r="N55" s="37">
        <f>N36</f>
        <v>9.5</v>
      </c>
      <c r="O55" s="16" t="str">
        <f>O32</f>
        <v>MWh</v>
      </c>
      <c r="P55" s="54">
        <f t="shared" si="6"/>
        <v>0</v>
      </c>
    </row>
    <row r="56" spans="1:16" x14ac:dyDescent="0.2">
      <c r="A56" s="15"/>
      <c r="B56" t="s">
        <v>92</v>
      </c>
      <c r="F56" s="194">
        <f>INDEX(Lookup!$C$16:$Z$16,1,MATCH($J$6,Lookup!$C$1:$Z$1,0))</f>
        <v>-1576</v>
      </c>
      <c r="G56" s="16" t="s">
        <v>78</v>
      </c>
      <c r="H56" s="37">
        <f>H37</f>
        <v>22.060000000000002</v>
      </c>
      <c r="I56" s="16" t="str">
        <f>I32</f>
        <v>MWh</v>
      </c>
      <c r="J56" s="54">
        <f t="shared" si="5"/>
        <v>0</v>
      </c>
      <c r="L56" s="195">
        <f>INDEX(Lookup!$C$16:$Z$16,1,MATCH($P$6,Lookup!$C$1:$Z$1,0))</f>
        <v>-1576</v>
      </c>
      <c r="M56" s="16" t="s">
        <v>78</v>
      </c>
      <c r="N56" s="37">
        <f>N37</f>
        <v>22.060000000000002</v>
      </c>
      <c r="O56" s="16" t="str">
        <f>O32</f>
        <v>MWh</v>
      </c>
      <c r="P56" s="54">
        <f t="shared" si="6"/>
        <v>0</v>
      </c>
    </row>
    <row r="57" spans="1:16" x14ac:dyDescent="0.2">
      <c r="A57" s="21"/>
      <c r="B57" s="19" t="s">
        <v>94</v>
      </c>
      <c r="C57" s="19"/>
      <c r="D57" s="19"/>
      <c r="E57" s="19"/>
      <c r="F57" s="194">
        <f>INDEX(Lookup!$C$17:$Z$17,1,MATCH($J$6,Lookup!$C$1:$Z$1,0))</f>
        <v>-1292</v>
      </c>
      <c r="G57" s="20" t="s">
        <v>78</v>
      </c>
      <c r="H57" s="46">
        <f>H38</f>
        <v>0</v>
      </c>
      <c r="I57" s="20" t="str">
        <f>I32</f>
        <v>MWh</v>
      </c>
      <c r="J57" s="57">
        <f t="shared" si="5"/>
        <v>0</v>
      </c>
      <c r="L57" s="196">
        <f>INDEX(Lookup!$C$17:$Z$17,1,MATCH($P$6,Lookup!$C$1:$Z$1,0))</f>
        <v>-1292</v>
      </c>
      <c r="M57" s="20" t="s">
        <v>78</v>
      </c>
      <c r="N57" s="46">
        <f>N38</f>
        <v>0</v>
      </c>
      <c r="O57" s="20" t="str">
        <f>O32</f>
        <v>MWh</v>
      </c>
      <c r="P57" s="57">
        <f t="shared" si="6"/>
        <v>0</v>
      </c>
    </row>
    <row r="58" spans="1:16" x14ac:dyDescent="0.2">
      <c r="A58" s="22" t="s">
        <v>109</v>
      </c>
      <c r="B58" s="23"/>
      <c r="C58" s="23"/>
      <c r="D58" s="23"/>
      <c r="E58" s="23"/>
      <c r="F58" s="24"/>
      <c r="G58" s="25"/>
      <c r="H58" s="49"/>
      <c r="I58" s="25"/>
      <c r="J58" s="60">
        <f>SUM(J53:J57)</f>
        <v>0</v>
      </c>
      <c r="L58" s="22" t="s">
        <v>109</v>
      </c>
      <c r="M58" s="25"/>
      <c r="N58" s="49"/>
      <c r="O58" s="25"/>
      <c r="P58" s="60">
        <f>SUM(P53:P57)</f>
        <v>0</v>
      </c>
    </row>
    <row r="59" spans="1:16" ht="9" customHeight="1" x14ac:dyDescent="0.2">
      <c r="J59" s="7"/>
      <c r="P59" s="7"/>
    </row>
    <row r="60" spans="1:16" x14ac:dyDescent="0.2">
      <c r="A60" s="22" t="s">
        <v>110</v>
      </c>
      <c r="B60" s="23"/>
      <c r="C60" s="23"/>
      <c r="D60" s="23"/>
      <c r="E60" s="23"/>
      <c r="F60" s="24"/>
      <c r="G60" s="25"/>
      <c r="H60" s="49"/>
      <c r="I60" s="25"/>
      <c r="J60" s="60">
        <f>SUM(J50,J58)</f>
        <v>6353886.6159028998</v>
      </c>
      <c r="L60" s="221" t="s">
        <v>110</v>
      </c>
      <c r="M60" s="222"/>
      <c r="N60" s="223"/>
      <c r="O60" s="222"/>
      <c r="P60" s="224">
        <f>SUM(P50,P58)</f>
        <v>6713092.8434453635</v>
      </c>
    </row>
    <row r="61" spans="1:16" ht="12.75" customHeight="1" x14ac:dyDescent="0.2">
      <c r="J61" s="7"/>
      <c r="L61" s="225" t="s">
        <v>111</v>
      </c>
      <c r="M61" s="226"/>
      <c r="N61" s="226"/>
      <c r="O61" s="226"/>
      <c r="P61" s="227">
        <f>P60/J60-1</f>
        <v>5.653330776212151E-2</v>
      </c>
    </row>
    <row r="62" spans="1:16" ht="9" customHeight="1" x14ac:dyDescent="0.2">
      <c r="J62" s="7"/>
      <c r="P62" s="7"/>
    </row>
    <row r="63" spans="1:16" x14ac:dyDescent="0.2">
      <c r="A63" s="22" t="s">
        <v>112</v>
      </c>
      <c r="B63" s="23"/>
      <c r="C63" s="23"/>
      <c r="D63" s="23"/>
      <c r="E63" s="23"/>
      <c r="F63" s="27"/>
      <c r="G63" s="25"/>
      <c r="H63" s="26"/>
      <c r="I63" s="25"/>
      <c r="J63" s="60">
        <f>INDEX('Site Data Input'!$M$2:$M$6,MATCH($P$7,'Site Data Input'!$A$2:$A$6),1)</f>
        <v>10756893.107582698</v>
      </c>
      <c r="L63" s="214" t="s">
        <v>112</v>
      </c>
      <c r="M63" s="215"/>
      <c r="N63" s="216">
        <f>N17</f>
        <v>207359.75078765914</v>
      </c>
      <c r="O63" s="217" t="s">
        <v>56</v>
      </c>
      <c r="P63" s="218">
        <f>N63*$N$21</f>
        <v>10756893.107582698</v>
      </c>
    </row>
    <row r="64" spans="1:16" ht="9" customHeight="1" x14ac:dyDescent="0.2">
      <c r="J64" s="7"/>
      <c r="P64" s="7"/>
    </row>
    <row r="65" spans="1:16" x14ac:dyDescent="0.2">
      <c r="A65" s="5" t="s">
        <v>113</v>
      </c>
      <c r="B65" s="5"/>
      <c r="C65" s="5"/>
      <c r="D65" s="5"/>
      <c r="E65" s="5"/>
      <c r="F65" s="5"/>
      <c r="G65" s="5"/>
      <c r="H65" s="5"/>
      <c r="I65" s="5"/>
      <c r="J65" s="61">
        <f>SUM(J60,J63)</f>
        <v>17110779.723485596</v>
      </c>
      <c r="L65" s="5" t="s">
        <v>113</v>
      </c>
      <c r="M65" s="5"/>
      <c r="N65" s="5"/>
      <c r="O65" s="5"/>
      <c r="P65" s="61">
        <f>SUM(P60,P63)</f>
        <v>17469985.95102806</v>
      </c>
    </row>
    <row r="66" spans="1:16" ht="12.75" customHeight="1" x14ac:dyDescent="0.2">
      <c r="J66" s="7"/>
      <c r="L66" s="209" t="s">
        <v>114</v>
      </c>
      <c r="M66" s="210"/>
      <c r="N66" s="210"/>
      <c r="O66" s="210"/>
      <c r="P66" s="211">
        <f>P65/J65-1</f>
        <v>2.0992978306501708E-2</v>
      </c>
    </row>
  </sheetData>
  <mergeCells count="12">
    <mergeCell ref="A25:J25"/>
    <mergeCell ref="C4:E4"/>
    <mergeCell ref="C2:H2"/>
    <mergeCell ref="C3:H3"/>
    <mergeCell ref="H11:I11"/>
    <mergeCell ref="C1:H1"/>
    <mergeCell ref="N11:O11"/>
    <mergeCell ref="L24:M24"/>
    <mergeCell ref="N24:O24"/>
    <mergeCell ref="H24:I24"/>
    <mergeCell ref="F24:G24"/>
    <mergeCell ref="A24:E24"/>
  </mergeCells>
  <phoneticPr fontId="3" type="noConversion"/>
  <conditionalFormatting sqref="A52:J52 A53:E57 G53:J57">
    <cfRule type="expression" dxfId="19" priority="5">
      <formula>$H$13="No"</formula>
    </cfRule>
  </conditionalFormatting>
  <conditionalFormatting sqref="L52:P52 M53:P57">
    <cfRule type="expression" dxfId="18" priority="4">
      <formula>$N$13="No"</formula>
    </cfRule>
  </conditionalFormatting>
  <conditionalFormatting sqref="F53:F57">
    <cfRule type="expression" dxfId="17" priority="3">
      <formula>$H$13="No"</formula>
    </cfRule>
  </conditionalFormatting>
  <conditionalFormatting sqref="L53">
    <cfRule type="expression" dxfId="16" priority="2">
      <formula>$H$13="No"</formula>
    </cfRule>
  </conditionalFormatting>
  <conditionalFormatting sqref="L54:L57">
    <cfRule type="expression" dxfId="15" priority="1">
      <formula>$H$13="No"</formula>
    </cfRule>
  </conditionalFormatting>
  <dataValidations count="7">
    <dataValidation allowBlank="1" showInputMessage="1" sqref="C4:F4 C1:H3 L9 P7 N6:N8 O6:P6" xr:uid="{00000000-0002-0000-0400-000000000000}"/>
    <dataValidation allowBlank="1" showErrorMessage="1" promptTitle="Reference" prompt="For more information, see the definition of metered energy in the Consolidated Authoritative Documents Glossary." sqref="M20:M22" xr:uid="{143D19C5-FB2D-4279-AC21-BEF1BDD4818F}"/>
    <dataValidation allowBlank="1" showErrorMessage="1" promptTitle="Reference" prompt="For more information, see the definition of metered demand in the Consolidated Authoritative Documents Glossary." sqref="M12:M13 G12:G22" xr:uid="{00000000-0002-0000-0400-000002000000}"/>
    <dataValidation allowBlank="1" showInputMessage="1" showErrorMessage="1" promptTitle="Reference" prompt="For more information, see the definition of billing capacity in the Consolidated Authoritative Documents Glossary." sqref="G17" xr:uid="{664CA776-5806-404B-B3AE-AC9C29B54C36}"/>
    <dataValidation allowBlank="1" showInputMessage="1" showErrorMessage="1" promptTitle="Reference" prompt="For more information, see subsection 7(b) of Rate DTS: Demand Transmission Service in the ISO tariff." sqref="M20 G20" xr:uid="{00000000-0002-0000-0400-000008000000}"/>
    <dataValidation allowBlank="1" showInputMessage="1" showErrorMessage="1" promptTitle="Reference" prompt="For more information, see subsection 4(2) of Rate DTS: Demand Transmission Service in the ISO tariff." sqref="G19" xr:uid="{8E7B1510-BC55-4E01-98B0-D7A0ED7E589B}"/>
    <dataValidation allowBlank="1" showErrorMessage="1" sqref="H13" xr:uid="{A0D2589A-4602-4AA0-AC40-CFC80AB1A5B6}"/>
  </dataValidations>
  <printOptions horizontalCentered="1"/>
  <pageMargins left="0.25" right="0.25" top="0.5" bottom="0.5" header="0.3" footer="0.3"/>
  <pageSetup scale="93" orientation="portrait" r:id="rId1"/>
  <headerFooter alignWithMargins="0">
    <oddFooter>&amp;L&amp;8Attachment to Bill Estimator for 2021 Tariff (AESO ID #2021-015T)
Filename: &amp;F — Page&amp;P of &amp;N&amp;R&amp;8Confidentiality: Proprietary When Completed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1C7D7-9C44-426A-864E-DCF428A72A95}">
  <sheetPr>
    <pageSetUpPr fitToPage="1"/>
  </sheetPr>
  <dimension ref="A1:P66"/>
  <sheetViews>
    <sheetView showGridLines="0" zoomScale="85" zoomScaleNormal="85" workbookViewId="0">
      <selection activeCell="H22" sqref="H22"/>
    </sheetView>
  </sheetViews>
  <sheetFormatPr defaultColWidth="9.5703125" defaultRowHeight="12.75" x14ac:dyDescent="0.2"/>
  <cols>
    <col min="1" max="1" width="7.42578125" customWidth="1"/>
    <col min="2" max="2" width="8.42578125" customWidth="1"/>
    <col min="3" max="3" width="26.5703125" customWidth="1"/>
    <col min="4" max="4" width="8.5703125" customWidth="1"/>
    <col min="5" max="6" width="10.5703125" customWidth="1"/>
    <col min="7" max="7" width="15.7109375" customWidth="1"/>
    <col min="8" max="9" width="10.42578125" customWidth="1"/>
    <col min="10" max="10" width="15.7109375" customWidth="1"/>
    <col min="12" max="12" width="10.5703125" customWidth="1"/>
    <col min="13" max="13" width="15.28515625" customWidth="1"/>
    <col min="14" max="15" width="10.42578125" customWidth="1"/>
    <col min="16" max="16" width="15.140625" customWidth="1"/>
  </cols>
  <sheetData>
    <row r="1" spans="1:16" ht="18.75" x14ac:dyDescent="0.4">
      <c r="A1" s="41" t="s">
        <v>20</v>
      </c>
      <c r="C1" s="266" t="str">
        <f>ParticipantName</f>
        <v>DFO</v>
      </c>
      <c r="D1" s="266"/>
      <c r="E1" s="266"/>
      <c r="F1" s="266"/>
      <c r="G1" s="266"/>
      <c r="H1" s="266"/>
      <c r="L1" s="160" t="s">
        <v>148</v>
      </c>
      <c r="M1" s="160"/>
      <c r="N1" s="160"/>
      <c r="O1" s="160"/>
      <c r="P1" s="146">
        <f>$P$61</f>
        <v>5.3453280980766849E-2</v>
      </c>
    </row>
    <row r="2" spans="1:16" x14ac:dyDescent="0.2">
      <c r="A2" s="41" t="s">
        <v>21</v>
      </c>
      <c r="C2" s="266" t="str">
        <f>SiteDescription</f>
        <v>Sample Site</v>
      </c>
      <c r="D2" s="266"/>
      <c r="E2" s="266"/>
      <c r="F2" s="266"/>
      <c r="G2" s="266"/>
      <c r="H2" s="266"/>
    </row>
    <row r="3" spans="1:16" x14ac:dyDescent="0.2">
      <c r="A3" t="s">
        <v>34</v>
      </c>
      <c r="C3" s="266" t="str">
        <f>AccountID</f>
        <v>1000XXXXX</v>
      </c>
      <c r="D3" s="266"/>
      <c r="E3" s="266"/>
      <c r="F3" s="266"/>
      <c r="G3" s="266"/>
      <c r="H3" s="266"/>
    </row>
    <row r="4" spans="1:16" x14ac:dyDescent="0.2">
      <c r="A4" t="s">
        <v>23</v>
      </c>
      <c r="C4" s="269">
        <f ca="1">TODAY()</f>
        <v>44292</v>
      </c>
      <c r="D4" s="269"/>
      <c r="E4" s="269"/>
      <c r="F4" s="41"/>
      <c r="G4" s="34"/>
      <c r="H4" s="35"/>
    </row>
    <row r="5" spans="1:16" s="4" customFormat="1" ht="7.15" customHeight="1" x14ac:dyDescent="0.15"/>
    <row r="6" spans="1:16" x14ac:dyDescent="0.2">
      <c r="I6" s="36" t="s">
        <v>35</v>
      </c>
      <c r="J6" s="106" t="s">
        <v>36</v>
      </c>
      <c r="O6" s="36" t="s">
        <v>35</v>
      </c>
      <c r="P6" s="106" t="s">
        <v>37</v>
      </c>
    </row>
    <row r="7" spans="1:16" ht="15.75" x14ac:dyDescent="0.25">
      <c r="I7" s="112"/>
      <c r="O7" s="142" t="s">
        <v>38</v>
      </c>
      <c r="P7" s="108">
        <v>2018</v>
      </c>
    </row>
    <row r="9" spans="1:16" x14ac:dyDescent="0.2">
      <c r="I9" s="36"/>
      <c r="J9" s="107"/>
      <c r="L9" s="41"/>
      <c r="M9" s="34"/>
      <c r="N9" s="35"/>
      <c r="O9" s="36"/>
      <c r="P9" s="107"/>
    </row>
    <row r="10" spans="1:16" x14ac:dyDescent="0.2">
      <c r="J10" s="8"/>
      <c r="M10" s="41" t="s">
        <v>41</v>
      </c>
      <c r="P10" s="8"/>
    </row>
    <row r="11" spans="1:16" x14ac:dyDescent="0.2">
      <c r="B11" s="6" t="s">
        <v>39</v>
      </c>
      <c r="C11" s="6"/>
      <c r="D11" s="6"/>
      <c r="E11" s="6"/>
      <c r="F11" s="6" t="s">
        <v>40</v>
      </c>
      <c r="G11" s="6" t="s">
        <v>41</v>
      </c>
      <c r="H11" s="262" t="s">
        <v>146</v>
      </c>
      <c r="I11" s="262"/>
      <c r="K11" s="6"/>
      <c r="L11" s="6" t="s">
        <v>149</v>
      </c>
      <c r="M11" s="6" t="s">
        <v>150</v>
      </c>
      <c r="N11" s="262" t="s">
        <v>146</v>
      </c>
      <c r="O11" s="262"/>
    </row>
    <row r="12" spans="1:16" x14ac:dyDescent="0.2">
      <c r="B12" s="112" t="s">
        <v>43</v>
      </c>
      <c r="C12" t="s">
        <v>44</v>
      </c>
      <c r="G12" s="8"/>
      <c r="H12" s="39">
        <f>INDEX('Site Data Input'!$E$2:$E$6,MATCH($P$7,'Site Data Input'!$A$2:$A$6),1)</f>
        <v>1</v>
      </c>
      <c r="M12" s="8"/>
      <c r="N12" s="39">
        <f t="shared" ref="N12:N22" si="0">H12</f>
        <v>1</v>
      </c>
    </row>
    <row r="13" spans="1:16" x14ac:dyDescent="0.2">
      <c r="B13" s="112" t="s">
        <v>45</v>
      </c>
      <c r="C13" s="41" t="s">
        <v>46</v>
      </c>
      <c r="G13" s="8"/>
      <c r="H13" s="125" t="str">
        <f>INDEX('Site Data Input'!$F$2:$F$6,MATCH($P$7,'Site Data Input'!$A$2:$A$6),1)</f>
        <v>No</v>
      </c>
      <c r="M13" s="8"/>
      <c r="N13" s="39" t="str">
        <f t="shared" si="0"/>
        <v>No</v>
      </c>
    </row>
    <row r="14" spans="1:16" x14ac:dyDescent="0.2">
      <c r="B14" s="112" t="s">
        <v>47</v>
      </c>
      <c r="C14" t="s">
        <v>48</v>
      </c>
      <c r="G14" s="37">
        <f>INDEX('Site Data Input'!$L$2:$L$6,MATCH($P$7,'Site Data Input'!$A$2:$A$6),1)/12</f>
        <v>32.513569767599655</v>
      </c>
      <c r="H14" s="37">
        <f>G14*12</f>
        <v>390.16283721119589</v>
      </c>
      <c r="I14" s="41" t="s">
        <v>49</v>
      </c>
      <c r="M14" s="6"/>
      <c r="N14" s="37">
        <f t="shared" si="0"/>
        <v>390.16283721119589</v>
      </c>
      <c r="O14" s="41" t="s">
        <v>49</v>
      </c>
    </row>
    <row r="15" spans="1:16" x14ac:dyDescent="0.2">
      <c r="B15" s="112" t="s">
        <v>50</v>
      </c>
      <c r="C15" t="s">
        <v>77</v>
      </c>
      <c r="F15" s="123">
        <f>H15/H14</f>
        <v>0.82388851513473371</v>
      </c>
      <c r="G15" s="37">
        <f>INDEX('Site Data Input'!$I$2:$I$6,MATCH($P$7,'Site Data Input'!$A$2:$A$6),1)/12</f>
        <v>26.787556717557251</v>
      </c>
      <c r="H15" s="37">
        <f>G15*12</f>
        <v>321.45068061068702</v>
      </c>
      <c r="I15" s="41" t="s">
        <v>49</v>
      </c>
      <c r="M15" s="6"/>
      <c r="N15" s="174">
        <f t="shared" si="0"/>
        <v>321.45068061068702</v>
      </c>
      <c r="O15" s="41" t="s">
        <v>49</v>
      </c>
    </row>
    <row r="16" spans="1:16" x14ac:dyDescent="0.2">
      <c r="B16" s="112" t="s">
        <v>54</v>
      </c>
      <c r="C16" s="41" t="s">
        <v>53</v>
      </c>
      <c r="G16" s="122">
        <f>INDEX('Site Data Input'!$G$2:$G$6,MATCH($P$7,'Site Data Input'!$A$2:$A$6),1)</f>
        <v>43.4</v>
      </c>
      <c r="H16" s="124">
        <f>G16</f>
        <v>43.4</v>
      </c>
      <c r="I16" s="41" t="s">
        <v>49</v>
      </c>
      <c r="M16" s="6"/>
      <c r="N16" s="37">
        <f t="shared" si="0"/>
        <v>43.4</v>
      </c>
      <c r="O16" s="41" t="s">
        <v>49</v>
      </c>
    </row>
    <row r="17" spans="1:16" x14ac:dyDescent="0.2">
      <c r="B17" s="112" t="s">
        <v>57</v>
      </c>
      <c r="C17" t="s">
        <v>55</v>
      </c>
      <c r="F17" s="123">
        <f>H17/(G14*VLOOKUP($P$7,Year_hours,2,FALSE))</f>
        <v>0.88444716458659822</v>
      </c>
      <c r="G17" s="38">
        <f>H17/12</f>
        <v>20992.270251825703</v>
      </c>
      <c r="H17" s="38">
        <f>INDEX('Site Data Input'!$H$2:$H$6,MATCH($P$7,'Site Data Input'!$A$2:$A$6),1)</f>
        <v>251907.24302190845</v>
      </c>
      <c r="I17" s="41" t="s">
        <v>56</v>
      </c>
      <c r="M17" s="6"/>
      <c r="N17" s="38">
        <f t="shared" si="0"/>
        <v>251907.24302190845</v>
      </c>
      <c r="O17" s="41" t="s">
        <v>56</v>
      </c>
    </row>
    <row r="18" spans="1:16" x14ac:dyDescent="0.2">
      <c r="B18" s="112" t="s">
        <v>59</v>
      </c>
      <c r="C18" t="s">
        <v>58</v>
      </c>
      <c r="G18" s="37">
        <f>H18/12</f>
        <v>39.06</v>
      </c>
      <c r="H18" s="37">
        <f>MAX(G14,G16*90%)*12</f>
        <v>468.72</v>
      </c>
      <c r="I18" s="41" t="s">
        <v>49</v>
      </c>
      <c r="M18" s="158"/>
      <c r="N18" s="37">
        <f t="shared" si="0"/>
        <v>468.72</v>
      </c>
      <c r="O18" s="41" t="s">
        <v>49</v>
      </c>
    </row>
    <row r="19" spans="1:16" x14ac:dyDescent="0.2">
      <c r="B19" s="112" t="s">
        <v>61</v>
      </c>
      <c r="C19" t="s">
        <v>60</v>
      </c>
      <c r="G19" s="8"/>
      <c r="H19" s="151">
        <f>INDEX('Site Data Input'!$N$2:$N$6,MATCH($P$7,'Site Data Input'!$A$2:$A$6),1)/(INDEX('Site Data Input'!$H$2:$H$6,MATCH($P$7,'Site Data Input'!$A$2:$A$6),1)*$H$22)</f>
        <v>9.4764194174764393E-2</v>
      </c>
      <c r="I19" s="16"/>
      <c r="M19" s="6"/>
      <c r="N19" s="94">
        <f t="shared" si="0"/>
        <v>9.4764194174764393E-2</v>
      </c>
      <c r="O19" s="16"/>
    </row>
    <row r="20" spans="1:16" x14ac:dyDescent="0.2">
      <c r="B20" s="112" t="s">
        <v>147</v>
      </c>
      <c r="C20" s="41" t="s">
        <v>153</v>
      </c>
      <c r="G20" s="92"/>
      <c r="H20" s="37">
        <f>INDEX('Site Data Input'!$R$2:$R$6,MATCH($P$7,'Site Data Input'!$A$2:$A$6),1)/INDEX(Lookup!$C$24:$Z$24,1,MATCH($J$6,Lookup!$C$1:$Z$1,0))</f>
        <v>0</v>
      </c>
      <c r="I20" s="41" t="s">
        <v>63</v>
      </c>
      <c r="M20" s="92"/>
      <c r="N20" s="37">
        <f t="shared" si="0"/>
        <v>0</v>
      </c>
      <c r="O20" s="41" t="s">
        <v>63</v>
      </c>
    </row>
    <row r="21" spans="1:16" x14ac:dyDescent="0.2">
      <c r="B21" s="112" t="s">
        <v>64</v>
      </c>
      <c r="C21" s="41" t="s">
        <v>65</v>
      </c>
      <c r="G21" s="8"/>
      <c r="H21" s="93">
        <f>INDEX('Site Data Input'!$M$2:$M$6,MATCH($P$7,'Site Data Input'!$A$2:$A$6),1)/INDEX('Site Data Input'!$H$2:$H$6,MATCH($P$7,'Site Data Input'!$A$2:$A$6),1)</f>
        <v>47.809000196947089</v>
      </c>
      <c r="I21" s="16" t="s">
        <v>66</v>
      </c>
      <c r="M21" s="8"/>
      <c r="N21" s="93">
        <f t="shared" si="0"/>
        <v>47.809000196947089</v>
      </c>
      <c r="O21" s="16" t="s">
        <v>66</v>
      </c>
    </row>
    <row r="22" spans="1:16" x14ac:dyDescent="0.2">
      <c r="B22" s="112" t="s">
        <v>67</v>
      </c>
      <c r="C22" s="41" t="s">
        <v>68</v>
      </c>
      <c r="G22" s="8"/>
      <c r="H22" s="93">
        <f>INDEX(Lookup!$C$18:$Z$18,1,MATCH($P$7,Lookup!$C$1:$Z$1,0))</f>
        <v>50.35</v>
      </c>
      <c r="I22" s="16" t="s">
        <v>66</v>
      </c>
      <c r="M22" s="8"/>
      <c r="N22" s="93">
        <f t="shared" si="0"/>
        <v>50.35</v>
      </c>
      <c r="O22" s="16" t="s">
        <v>66</v>
      </c>
    </row>
    <row r="24" spans="1:16" x14ac:dyDescent="0.2">
      <c r="A24" s="262" t="s">
        <v>69</v>
      </c>
      <c r="B24" s="262"/>
      <c r="C24" s="262"/>
      <c r="D24" s="262"/>
      <c r="E24" s="262"/>
      <c r="F24" s="262" t="s">
        <v>70</v>
      </c>
      <c r="G24" s="262"/>
      <c r="H24" s="262" t="s">
        <v>71</v>
      </c>
      <c r="I24" s="262"/>
      <c r="J24" s="40" t="s">
        <v>72</v>
      </c>
      <c r="L24" s="262" t="s">
        <v>70</v>
      </c>
      <c r="M24" s="262"/>
      <c r="N24" s="262" t="s">
        <v>71</v>
      </c>
      <c r="O24" s="262"/>
      <c r="P24" s="40" t="s">
        <v>72</v>
      </c>
    </row>
    <row r="25" spans="1:16" s="41" customFormat="1" x14ac:dyDescent="0.2">
      <c r="A25" s="263" t="s">
        <v>73</v>
      </c>
      <c r="B25" s="264"/>
      <c r="C25" s="264"/>
      <c r="D25" s="264"/>
      <c r="E25" s="264"/>
      <c r="F25" s="264"/>
      <c r="G25" s="264"/>
      <c r="H25" s="264"/>
      <c r="I25" s="264"/>
      <c r="J25" s="265"/>
      <c r="L25" s="228" t="s">
        <v>73</v>
      </c>
      <c r="M25" s="229"/>
      <c r="N25" s="229"/>
      <c r="O25" s="229"/>
      <c r="P25" s="230"/>
    </row>
    <row r="26" spans="1:16" x14ac:dyDescent="0.2">
      <c r="A26" s="5" t="s">
        <v>74</v>
      </c>
      <c r="C26" s="5"/>
      <c r="D26" s="5"/>
      <c r="E26" s="5"/>
      <c r="F26" s="5"/>
      <c r="G26" s="5"/>
      <c r="H26" s="42"/>
      <c r="I26" s="5"/>
      <c r="J26" s="9"/>
      <c r="L26" s="5"/>
      <c r="M26" s="5"/>
      <c r="N26" s="42"/>
      <c r="O26" s="5"/>
      <c r="P26" s="9"/>
    </row>
    <row r="27" spans="1:16" x14ac:dyDescent="0.2">
      <c r="A27" s="28" t="s">
        <v>75</v>
      </c>
      <c r="B27" s="29"/>
      <c r="C27" s="29"/>
      <c r="D27" s="29"/>
      <c r="E27" s="29"/>
      <c r="F27" s="30"/>
      <c r="G27" s="29"/>
      <c r="H27" s="43"/>
      <c r="I27" s="29"/>
      <c r="J27" s="53"/>
      <c r="L27" s="113"/>
      <c r="M27" s="29"/>
      <c r="N27" s="43"/>
      <c r="O27" s="29"/>
      <c r="P27" s="53"/>
    </row>
    <row r="28" spans="1:16" x14ac:dyDescent="0.2">
      <c r="A28" s="15" t="s">
        <v>76</v>
      </c>
      <c r="B28" t="s">
        <v>77</v>
      </c>
      <c r="F28" s="88">
        <f>INDEX(Lookup!$C$4:$Z$4,1,MATCH($J$6,Lookup!$C$1:$Z$1,0))</f>
        <v>10087</v>
      </c>
      <c r="G28" s="16" t="s">
        <v>78</v>
      </c>
      <c r="H28" s="37">
        <f>H15</f>
        <v>321.45068061068702</v>
      </c>
      <c r="I28" s="16" t="str">
        <f>I15</f>
        <v>MW</v>
      </c>
      <c r="J28" s="54">
        <f>F28*H28</f>
        <v>3242473.0153199998</v>
      </c>
      <c r="L28" s="114">
        <f>INDEX(Lookup!$C$4:$Z$4,1,MATCH($P$6,Lookup!$C$1:$Z$1,0))</f>
        <v>5980</v>
      </c>
      <c r="M28" s="16" t="s">
        <v>78</v>
      </c>
      <c r="N28" s="37">
        <f>N15</f>
        <v>321.45068061068702</v>
      </c>
      <c r="O28" s="16" t="str">
        <f>O15</f>
        <v>MW</v>
      </c>
      <c r="P28" s="54">
        <f>L28*N28</f>
        <v>1922275.0700519083</v>
      </c>
    </row>
    <row r="29" spans="1:16" x14ac:dyDescent="0.2">
      <c r="A29" s="31" t="s">
        <v>79</v>
      </c>
      <c r="B29" s="32"/>
      <c r="C29" s="32"/>
      <c r="D29" s="32"/>
      <c r="E29" s="32"/>
      <c r="F29" s="33"/>
      <c r="G29" s="32"/>
      <c r="H29" s="45"/>
      <c r="I29" s="32"/>
      <c r="J29" s="56"/>
      <c r="L29" s="115"/>
      <c r="M29" s="32"/>
      <c r="N29" s="45"/>
      <c r="O29" s="32"/>
      <c r="P29" s="56"/>
    </row>
    <row r="30" spans="1:16" x14ac:dyDescent="0.2">
      <c r="A30" s="77" t="s">
        <v>80</v>
      </c>
      <c r="B30" t="s">
        <v>58</v>
      </c>
      <c r="F30" s="88">
        <f>INDEX(Lookup!$C$6:$Z$6,1,MATCH($J$6,Lookup!$C$1:$Z$1,0))</f>
        <v>2668</v>
      </c>
      <c r="G30" s="16" t="s">
        <v>78</v>
      </c>
      <c r="H30" s="37">
        <f>H18</f>
        <v>468.72</v>
      </c>
      <c r="I30" s="16" t="str">
        <f>I18</f>
        <v>MW</v>
      </c>
      <c r="J30" s="54">
        <f>F30*H30</f>
        <v>1250544.96</v>
      </c>
      <c r="L30" s="114">
        <f>INDEX(Lookup!$C$6:$Z$6,1,MATCH($P$6,Lookup!$C$1:$Z$1,0))</f>
        <v>2055</v>
      </c>
      <c r="M30" s="16" t="s">
        <v>78</v>
      </c>
      <c r="N30" s="37">
        <f>N18</f>
        <v>468.72</v>
      </c>
      <c r="O30" s="16" t="str">
        <f>O18</f>
        <v>MW</v>
      </c>
      <c r="P30" s="54">
        <f>L30*N30</f>
        <v>963219.60000000009</v>
      </c>
    </row>
    <row r="31" spans="1:16" x14ac:dyDescent="0.2">
      <c r="A31" s="31" t="s">
        <v>81</v>
      </c>
      <c r="B31" s="32"/>
      <c r="C31" s="32"/>
      <c r="D31" s="32"/>
      <c r="E31" s="32"/>
      <c r="F31" s="33"/>
      <c r="G31" s="32"/>
      <c r="H31" s="45"/>
      <c r="I31" s="32"/>
      <c r="J31" s="56"/>
      <c r="L31" s="115"/>
      <c r="M31" s="32"/>
      <c r="N31" s="45"/>
      <c r="O31" s="32"/>
      <c r="P31" s="56"/>
    </row>
    <row r="32" spans="1:16" x14ac:dyDescent="0.2">
      <c r="A32" s="111" t="s">
        <v>82</v>
      </c>
      <c r="B32" s="17" t="s">
        <v>55</v>
      </c>
      <c r="C32" s="17"/>
      <c r="D32" s="17"/>
      <c r="E32" s="17"/>
      <c r="F32" s="88">
        <f>INDEX(Lookup!$C$7:$Z$7,1,MATCH($J$6,Lookup!$C$1:$Z$1,0))</f>
        <v>2.1799999999999997</v>
      </c>
      <c r="G32" s="18" t="s">
        <v>66</v>
      </c>
      <c r="H32" s="44">
        <f>H17</f>
        <v>251907.24302190845</v>
      </c>
      <c r="I32" s="18" t="str">
        <f>I17</f>
        <v>MWh</v>
      </c>
      <c r="J32" s="55">
        <f>F32*H32</f>
        <v>549157.78978776035</v>
      </c>
      <c r="L32" s="114">
        <f>INDEX(Lookup!$C$7:$Z$7,1,MATCH($P$6,Lookup!$C$1:$Z$1,0))</f>
        <v>10.19</v>
      </c>
      <c r="M32" s="18" t="s">
        <v>66</v>
      </c>
      <c r="N32" s="44">
        <f>N17</f>
        <v>251907.24302190845</v>
      </c>
      <c r="O32" s="18" t="str">
        <f>O17</f>
        <v>MWh</v>
      </c>
      <c r="P32" s="55">
        <f>L32*N32</f>
        <v>2566934.8063932471</v>
      </c>
    </row>
    <row r="33" spans="1:16" x14ac:dyDescent="0.2">
      <c r="A33" s="31" t="s">
        <v>83</v>
      </c>
      <c r="B33" s="32"/>
      <c r="C33" s="32"/>
      <c r="D33" s="32"/>
      <c r="E33" s="32"/>
      <c r="F33" s="33"/>
      <c r="G33" s="32"/>
      <c r="H33" s="45"/>
      <c r="I33" s="32"/>
      <c r="J33" s="56"/>
      <c r="L33" s="115"/>
      <c r="M33" s="32"/>
      <c r="N33" s="45"/>
      <c r="O33" s="32"/>
      <c r="P33" s="56"/>
    </row>
    <row r="34" spans="1:16" x14ac:dyDescent="0.2">
      <c r="A34" s="15" t="s">
        <v>84</v>
      </c>
      <c r="B34" t="s">
        <v>85</v>
      </c>
      <c r="F34" s="88">
        <f>INDEX(Lookup!$C$8:$Z$8,1,MATCH($J$6,Lookup!$C$1:$Z$1,0))</f>
        <v>11278</v>
      </c>
      <c r="G34" s="16" t="s">
        <v>86</v>
      </c>
      <c r="H34" s="39">
        <f>H12</f>
        <v>1</v>
      </c>
      <c r="J34" s="54">
        <f>F34*H34*12</f>
        <v>135336</v>
      </c>
      <c r="L34" s="114">
        <f>INDEX(Lookup!$C$8:$Z$8,1,MATCH($J$6,Lookup!$C$1:$Z$1,0))</f>
        <v>11278</v>
      </c>
      <c r="M34" s="16" t="s">
        <v>86</v>
      </c>
      <c r="N34" s="39">
        <f>N12</f>
        <v>1</v>
      </c>
      <c r="P34" s="54">
        <f>L34*N34*12</f>
        <v>135336</v>
      </c>
    </row>
    <row r="35" spans="1:16" x14ac:dyDescent="0.2">
      <c r="A35" s="15" t="s">
        <v>87</v>
      </c>
      <c r="B35" t="s">
        <v>88</v>
      </c>
      <c r="F35" s="88">
        <f>INDEX(Lookup!$C$9:$Z$9,1,MATCH($J$6,Lookup!$C$1:$Z$1,0))</f>
        <v>4566</v>
      </c>
      <c r="G35" s="16" t="s">
        <v>78</v>
      </c>
      <c r="H35" s="37">
        <f>MIN(G18,7.5*H12)</f>
        <v>7.5</v>
      </c>
      <c r="I35" s="16" t="str">
        <f>I18</f>
        <v>MW</v>
      </c>
      <c r="J35" s="54">
        <f t="shared" ref="J35:J38" si="1">F35*H35*12</f>
        <v>410940</v>
      </c>
      <c r="L35" s="114">
        <f>INDEX(Lookup!$C$9:$Z$9,1,MATCH($J$6,Lookup!$C$1:$Z$1,0))</f>
        <v>4566</v>
      </c>
      <c r="M35" s="16" t="s">
        <v>78</v>
      </c>
      <c r="N35" s="37">
        <f>MIN(N18/12,7.5*N12)</f>
        <v>7.5</v>
      </c>
      <c r="O35" s="16" t="str">
        <f>O18</f>
        <v>MW</v>
      </c>
      <c r="P35" s="54">
        <f t="shared" ref="P35:P38" si="2">L35*N35*12</f>
        <v>410940</v>
      </c>
    </row>
    <row r="36" spans="1:16" x14ac:dyDescent="0.2">
      <c r="A36" s="15" t="s">
        <v>89</v>
      </c>
      <c r="B36" t="s">
        <v>90</v>
      </c>
      <c r="F36" s="88">
        <f>INDEX(Lookup!$C$10:$Z$10,1,MATCH($J$6,Lookup!$C$1:$Z$1,0))</f>
        <v>2860</v>
      </c>
      <c r="G36" s="16" t="s">
        <v>78</v>
      </c>
      <c r="H36" s="37">
        <f>MAX(MIN(G18,17*H12)-(7.5*H12),0)</f>
        <v>9.5</v>
      </c>
      <c r="I36" s="16" t="str">
        <f>I18</f>
        <v>MW</v>
      </c>
      <c r="J36" s="54">
        <f t="shared" si="1"/>
        <v>326040</v>
      </c>
      <c r="L36" s="114">
        <f>INDEX(Lookup!$C$10:$Z$10,1,MATCH($J$6,Lookup!$C$1:$Z$1,0))</f>
        <v>2860</v>
      </c>
      <c r="M36" s="16" t="s">
        <v>78</v>
      </c>
      <c r="N36" s="37">
        <f>MAX(MIN(N18/12,17*N12)-(7.5*N12),0)</f>
        <v>9.5</v>
      </c>
      <c r="O36" s="16" t="str">
        <f>O18</f>
        <v>MW</v>
      </c>
      <c r="P36" s="54">
        <f t="shared" si="2"/>
        <v>326040</v>
      </c>
    </row>
    <row r="37" spans="1:16" x14ac:dyDescent="0.2">
      <c r="A37" s="15" t="s">
        <v>91</v>
      </c>
      <c r="B37" t="s">
        <v>92</v>
      </c>
      <c r="F37" s="88">
        <f>INDEX(Lookup!$C$11:$Z$11,1,MATCH($J$6,Lookup!$C$1:$Z$1,0))</f>
        <v>1995</v>
      </c>
      <c r="G37" s="16" t="s">
        <v>78</v>
      </c>
      <c r="H37" s="37">
        <f>MAX(MIN(G18,40*H12)-(17*H12),0)</f>
        <v>22.060000000000002</v>
      </c>
      <c r="I37" s="16" t="str">
        <f>I18</f>
        <v>MW</v>
      </c>
      <c r="J37" s="54">
        <f t="shared" si="1"/>
        <v>528116.4</v>
      </c>
      <c r="L37" s="114">
        <f>INDEX(Lookup!$C$11:$Z$11,1,MATCH($J$6,Lookup!$C$1:$Z$1,0))</f>
        <v>1995</v>
      </c>
      <c r="M37" s="16" t="s">
        <v>78</v>
      </c>
      <c r="N37" s="37">
        <f>MAX(MIN(N18/12,40*N12)-(17*N12),0)</f>
        <v>22.060000000000002</v>
      </c>
      <c r="O37" s="16" t="str">
        <f>O18</f>
        <v>MW</v>
      </c>
      <c r="P37" s="54">
        <f t="shared" si="2"/>
        <v>528116.4</v>
      </c>
    </row>
    <row r="38" spans="1:16" x14ac:dyDescent="0.2">
      <c r="A38" s="21" t="s">
        <v>93</v>
      </c>
      <c r="B38" s="19" t="s">
        <v>94</v>
      </c>
      <c r="C38" s="19"/>
      <c r="D38" s="19"/>
      <c r="E38" s="19"/>
      <c r="F38" s="89">
        <f>INDEX(Lookup!$C$12:$Z$12,1,MATCH($J$6,Lookup!$C$1:$Z$1,0))</f>
        <v>1292</v>
      </c>
      <c r="G38" s="20" t="s">
        <v>78</v>
      </c>
      <c r="H38" s="46">
        <f>MAX(G18-(40*H12),0)</f>
        <v>0</v>
      </c>
      <c r="I38" s="20" t="str">
        <f>I18</f>
        <v>MW</v>
      </c>
      <c r="J38" s="57">
        <f t="shared" si="1"/>
        <v>0</v>
      </c>
      <c r="L38" s="116">
        <f>INDEX(Lookup!$C$12:$Z$12,1,MATCH($J$6,Lookup!$C$1:$Z$1,0))</f>
        <v>1292</v>
      </c>
      <c r="M38" s="20" t="s">
        <v>78</v>
      </c>
      <c r="N38" s="46">
        <f>MAX(N18/12-(40*N12),0)</f>
        <v>0</v>
      </c>
      <c r="O38" s="20" t="str">
        <f>O18</f>
        <v>MW</v>
      </c>
      <c r="P38" s="57">
        <f t="shared" si="2"/>
        <v>0</v>
      </c>
    </row>
    <row r="39" spans="1:16" ht="12.75" customHeight="1" x14ac:dyDescent="0.2">
      <c r="A39" s="22" t="s">
        <v>95</v>
      </c>
      <c r="B39" s="23"/>
      <c r="C39" s="23"/>
      <c r="D39" s="23"/>
      <c r="E39" s="23"/>
      <c r="F39" s="24"/>
      <c r="G39" s="25"/>
      <c r="H39" s="49"/>
      <c r="I39" s="25"/>
      <c r="J39" s="60">
        <f>SUM(J28:J38)</f>
        <v>6442608.1651077606</v>
      </c>
      <c r="L39" s="22" t="s">
        <v>95</v>
      </c>
      <c r="M39" s="25"/>
      <c r="N39" s="49"/>
      <c r="O39" s="25"/>
      <c r="P39" s="60">
        <f>SUM(P28:P38)</f>
        <v>6852861.8764451556</v>
      </c>
    </row>
    <row r="40" spans="1:16" ht="12.75" customHeight="1" x14ac:dyDescent="0.2">
      <c r="J40" s="7"/>
      <c r="L40" s="193" t="s">
        <v>151</v>
      </c>
      <c r="M40" s="175"/>
      <c r="N40" s="175"/>
      <c r="O40" s="175"/>
      <c r="P40" s="176">
        <f>P39/J39-1</f>
        <v>6.3678203116444454E-2</v>
      </c>
    </row>
    <row r="41" spans="1:16" x14ac:dyDescent="0.2">
      <c r="A41" s="5" t="s">
        <v>96</v>
      </c>
      <c r="C41" s="5"/>
      <c r="D41" s="5"/>
      <c r="E41" s="5"/>
      <c r="F41" s="5"/>
      <c r="G41" s="5"/>
      <c r="H41" s="42"/>
      <c r="I41" s="5"/>
      <c r="J41" s="9"/>
      <c r="L41" s="172"/>
      <c r="M41" s="172"/>
      <c r="N41" s="173"/>
      <c r="O41" s="172"/>
      <c r="P41" s="189"/>
    </row>
    <row r="42" spans="1:16" x14ac:dyDescent="0.2">
      <c r="A42" s="10" t="s">
        <v>97</v>
      </c>
      <c r="B42" s="11" t="s">
        <v>55</v>
      </c>
      <c r="C42" s="11"/>
      <c r="D42" s="51" t="s">
        <v>98</v>
      </c>
      <c r="E42" s="62">
        <f>H19</f>
        <v>9.4764194174764393E-2</v>
      </c>
      <c r="F42" s="52">
        <f>H22</f>
        <v>50.35</v>
      </c>
      <c r="G42" s="50" t="s">
        <v>66</v>
      </c>
      <c r="H42" s="47">
        <f>H17</f>
        <v>251907.24302190845</v>
      </c>
      <c r="I42" s="12" t="str">
        <f>I17</f>
        <v>MWh</v>
      </c>
      <c r="J42" s="58">
        <f>E42*F42*H42</f>
        <v>1201944.47</v>
      </c>
      <c r="L42" s="118">
        <f>F42</f>
        <v>50.35</v>
      </c>
      <c r="M42" s="50" t="s">
        <v>66</v>
      </c>
      <c r="N42" s="47">
        <f>N17</f>
        <v>251907.24302190845</v>
      </c>
      <c r="O42" s="12" t="str">
        <f>O17</f>
        <v>MWh</v>
      </c>
      <c r="P42" s="58">
        <f>E42*L42*N42</f>
        <v>1201944.47</v>
      </c>
    </row>
    <row r="43" spans="1:16" x14ac:dyDescent="0.2">
      <c r="A43" s="5" t="s">
        <v>99</v>
      </c>
      <c r="C43" s="5"/>
      <c r="D43" s="5"/>
      <c r="E43" s="5"/>
      <c r="F43" s="5"/>
      <c r="G43" s="5"/>
      <c r="H43" s="42"/>
      <c r="I43" s="5"/>
      <c r="J43" s="9"/>
      <c r="L43" s="117"/>
      <c r="M43" s="5"/>
      <c r="N43" s="42"/>
      <c r="O43" s="5"/>
      <c r="P43" s="9"/>
    </row>
    <row r="44" spans="1:16" x14ac:dyDescent="0.2">
      <c r="A44" s="10" t="s">
        <v>100</v>
      </c>
      <c r="B44" s="11" t="s">
        <v>55</v>
      </c>
      <c r="C44" s="11"/>
      <c r="D44" s="11"/>
      <c r="E44" s="11"/>
      <c r="F44" s="90">
        <f>INDEX(Lookup!$C$20:$Z$20,1,MATCH($J$6,Lookup!$C$1:$Z$1,0))</f>
        <v>2E-3</v>
      </c>
      <c r="G44" s="12" t="s">
        <v>66</v>
      </c>
      <c r="H44" s="47">
        <f>H17</f>
        <v>251907.24302190845</v>
      </c>
      <c r="I44" s="12" t="str">
        <f>I17</f>
        <v>MWh</v>
      </c>
      <c r="J44" s="58">
        <f>F44*H44</f>
        <v>503.81448604381688</v>
      </c>
      <c r="L44" s="119">
        <f>INDEX(Lookup!$C$20:$Z$20,1,MATCH($J$6,Lookup!$C$1:$Z$1,0))</f>
        <v>2E-3</v>
      </c>
      <c r="M44" s="12" t="s">
        <v>66</v>
      </c>
      <c r="N44" s="47">
        <f>N17</f>
        <v>251907.24302190845</v>
      </c>
      <c r="O44" s="12" t="str">
        <f>O17</f>
        <v>MWh</v>
      </c>
      <c r="P44" s="58">
        <f>L44*N44</f>
        <v>503.81448604381688</v>
      </c>
    </row>
    <row r="45" spans="1:16" x14ac:dyDescent="0.2">
      <c r="A45" s="5" t="s">
        <v>101</v>
      </c>
      <c r="C45" s="5"/>
      <c r="D45" s="5"/>
      <c r="E45" s="5"/>
      <c r="F45" s="5"/>
      <c r="G45" s="5"/>
      <c r="H45" s="42"/>
      <c r="I45" s="5"/>
      <c r="J45" s="9"/>
      <c r="L45" s="117"/>
      <c r="M45" s="5"/>
      <c r="N45" s="42"/>
      <c r="O45" s="5"/>
      <c r="P45" s="9"/>
    </row>
    <row r="46" spans="1:16" x14ac:dyDescent="0.2">
      <c r="A46" s="74" t="s">
        <v>102</v>
      </c>
      <c r="B46" s="11" t="s">
        <v>55</v>
      </c>
      <c r="C46" s="11"/>
      <c r="D46" s="11"/>
      <c r="E46" s="11"/>
      <c r="F46" s="87">
        <f>INDEX(Lookup!$C$21:$Z$21,1,MATCH($J$6,Lookup!$C$1:$Z$1,0))</f>
        <v>0.06</v>
      </c>
      <c r="G46" s="12" t="s">
        <v>66</v>
      </c>
      <c r="H46" s="47">
        <f>H17</f>
        <v>251907.24302190845</v>
      </c>
      <c r="I46" s="12" t="str">
        <f>I17</f>
        <v>MWh</v>
      </c>
      <c r="J46" s="58">
        <f>F46*H46</f>
        <v>15114.434581314506</v>
      </c>
      <c r="L46" s="120">
        <f>INDEX(Lookup!$C$21:$Z$21,1,MATCH($J$6,Lookup!$C$1:$Z$1,0))</f>
        <v>0.06</v>
      </c>
      <c r="M46" s="12" t="s">
        <v>66</v>
      </c>
      <c r="N46" s="47">
        <f>N17</f>
        <v>251907.24302190845</v>
      </c>
      <c r="O46" s="12" t="str">
        <f>O17</f>
        <v>MWh</v>
      </c>
      <c r="P46" s="58">
        <f>L46*N46</f>
        <v>15114.434581314506</v>
      </c>
    </row>
    <row r="47" spans="1:16" x14ac:dyDescent="0.2">
      <c r="A47" s="5" t="s">
        <v>103</v>
      </c>
      <c r="B47" s="5"/>
      <c r="C47" s="5"/>
      <c r="D47" s="5"/>
      <c r="E47" s="5"/>
      <c r="F47" s="5"/>
      <c r="G47" s="5"/>
      <c r="H47" s="42"/>
      <c r="I47" s="5"/>
      <c r="J47" s="9"/>
      <c r="L47" s="117"/>
      <c r="M47" s="5"/>
      <c r="N47" s="42"/>
      <c r="O47" s="5"/>
      <c r="P47" s="9"/>
    </row>
    <row r="48" spans="1:16" x14ac:dyDescent="0.2">
      <c r="A48" s="75" t="s">
        <v>104</v>
      </c>
      <c r="B48" s="13" t="s">
        <v>48</v>
      </c>
      <c r="C48" s="13"/>
      <c r="D48" s="13"/>
      <c r="E48" s="13"/>
      <c r="F48" s="91">
        <f>INDEX(Lookup!$C$22:$Z$22,1,MATCH($J$6,Lookup!$C$1:$Z$1,0))</f>
        <v>38</v>
      </c>
      <c r="G48" s="14" t="s">
        <v>78</v>
      </c>
      <c r="H48" s="48">
        <f>H14</f>
        <v>390.16283721119589</v>
      </c>
      <c r="I48" s="14" t="str">
        <f>I14</f>
        <v>MW</v>
      </c>
      <c r="J48" s="59">
        <f t="shared" ref="J48:J49" si="3">F48*H48</f>
        <v>14826.187814025445</v>
      </c>
      <c r="L48" s="121">
        <f>INDEX(Lookup!$C$22:$Z$22,1,MATCH($J$6,Lookup!$C$1:$Z$1,0))</f>
        <v>38</v>
      </c>
      <c r="M48" s="14" t="s">
        <v>78</v>
      </c>
      <c r="N48" s="48">
        <f>N14</f>
        <v>390.16283721119589</v>
      </c>
      <c r="O48" s="14" t="str">
        <f>O14</f>
        <v>MW</v>
      </c>
      <c r="P48" s="59">
        <f t="shared" ref="P48:P49" si="4">L48*N48</f>
        <v>14826.187814025445</v>
      </c>
    </row>
    <row r="49" spans="1:16" x14ac:dyDescent="0.2">
      <c r="A49" s="76" t="s">
        <v>105</v>
      </c>
      <c r="B49" s="19" t="s">
        <v>62</v>
      </c>
      <c r="C49" s="19"/>
      <c r="D49" s="19"/>
      <c r="E49" s="19"/>
      <c r="F49" s="89">
        <f>INDEX(Lookup!$C$24:$Z$24,1,MATCH($J$6,Lookup!$C$1:$Z$1,0))</f>
        <v>400</v>
      </c>
      <c r="G49" s="20" t="s">
        <v>106</v>
      </c>
      <c r="H49" s="46">
        <f>H20</f>
        <v>0</v>
      </c>
      <c r="I49" s="20" t="str">
        <f>I20</f>
        <v>MVA</v>
      </c>
      <c r="J49" s="57">
        <f t="shared" si="3"/>
        <v>0</v>
      </c>
      <c r="L49" s="116">
        <f>INDEX(Lookup!$C$24:$Z$24,1,MATCH($J$6,Lookup!$C$1:$Z$1,0))</f>
        <v>400</v>
      </c>
      <c r="M49" s="20" t="s">
        <v>106</v>
      </c>
      <c r="N49" s="46">
        <f>N20</f>
        <v>0</v>
      </c>
      <c r="O49" s="20" t="str">
        <f>O20</f>
        <v>MVA</v>
      </c>
      <c r="P49" s="57">
        <f t="shared" si="4"/>
        <v>0</v>
      </c>
    </row>
    <row r="50" spans="1:16" x14ac:dyDescent="0.2">
      <c r="A50" s="22" t="s">
        <v>107</v>
      </c>
      <c r="B50" s="23"/>
      <c r="C50" s="23"/>
      <c r="D50" s="23"/>
      <c r="E50" s="23"/>
      <c r="F50" s="24"/>
      <c r="G50" s="25"/>
      <c r="H50" s="49"/>
      <c r="I50" s="25"/>
      <c r="J50" s="60">
        <f>SUM(J39:J49)</f>
        <v>7674997.0719891433</v>
      </c>
      <c r="L50" s="22" t="s">
        <v>107</v>
      </c>
      <c r="M50" s="25"/>
      <c r="N50" s="49"/>
      <c r="O50" s="25"/>
      <c r="P50" s="60">
        <f>SUM(P39:P49)</f>
        <v>8085250.8470047414</v>
      </c>
    </row>
    <row r="51" spans="1:16" ht="9" customHeight="1" x14ac:dyDescent="0.2">
      <c r="J51" s="7"/>
      <c r="P51" s="7"/>
    </row>
    <row r="52" spans="1:16" x14ac:dyDescent="0.2">
      <c r="A52" s="28" t="s">
        <v>108</v>
      </c>
      <c r="B52" s="29"/>
      <c r="C52" s="29"/>
      <c r="D52" s="29"/>
      <c r="E52" s="29"/>
      <c r="F52" s="30"/>
      <c r="G52" s="29"/>
      <c r="H52" s="43"/>
      <c r="I52" s="29"/>
      <c r="J52" s="53"/>
      <c r="L52" s="115"/>
      <c r="M52" s="32"/>
      <c r="N52" s="45"/>
      <c r="O52" s="32"/>
      <c r="P52" s="56"/>
    </row>
    <row r="53" spans="1:16" x14ac:dyDescent="0.2">
      <c r="A53" s="15"/>
      <c r="B53" t="s">
        <v>85</v>
      </c>
      <c r="F53" s="194">
        <f>INDEX(Lookup!$C$13:$Z$13,1,MATCH($J$6,Lookup!$C$1:$Z$1,0))</f>
        <v>-8910</v>
      </c>
      <c r="G53" s="16" t="s">
        <v>86</v>
      </c>
      <c r="H53" s="39">
        <f>H12</f>
        <v>1</v>
      </c>
      <c r="J53" s="54">
        <f>IF(H$13="No",0,F53*H53)*12</f>
        <v>0</v>
      </c>
      <c r="L53" s="195">
        <f>INDEX(Lookup!$C$13:$Z$13,1,MATCH($P$6,Lookup!$C$1:$Z$1,0))</f>
        <v>-8910</v>
      </c>
      <c r="M53" s="16" t="s">
        <v>86</v>
      </c>
      <c r="N53" s="39">
        <f>N12</f>
        <v>1</v>
      </c>
      <c r="P53" s="54">
        <f>IF($N$13="No",0,L53*N53*12)</f>
        <v>0</v>
      </c>
    </row>
    <row r="54" spans="1:16" x14ac:dyDescent="0.2">
      <c r="A54" s="15"/>
      <c r="B54" t="s">
        <v>88</v>
      </c>
      <c r="F54" s="194">
        <f>INDEX(Lookup!$C$14:$Z$14,1,MATCH($J$6,Lookup!$C$1:$Z$1,0))</f>
        <v>-3607</v>
      </c>
      <c r="G54" s="16" t="s">
        <v>78</v>
      </c>
      <c r="H54" s="37">
        <f>H35</f>
        <v>7.5</v>
      </c>
      <c r="I54" s="16" t="str">
        <f>I32</f>
        <v>MWh</v>
      </c>
      <c r="J54" s="54">
        <f t="shared" ref="J54:J57" si="5">IF(H$13="No",0,F54*H54)*12</f>
        <v>0</v>
      </c>
      <c r="L54" s="195">
        <f>INDEX(Lookup!$C$14:$Z$14,1,MATCH($P$6,Lookup!$C$1:$Z$1,0))</f>
        <v>-3607</v>
      </c>
      <c r="M54" s="16" t="s">
        <v>78</v>
      </c>
      <c r="N54" s="37">
        <f>N35</f>
        <v>7.5</v>
      </c>
      <c r="O54" s="16" t="str">
        <f>O32</f>
        <v>MWh</v>
      </c>
      <c r="P54" s="54">
        <f t="shared" ref="P54:P57" si="6">IF($N$13="No",0,L54*N54*12)</f>
        <v>0</v>
      </c>
    </row>
    <row r="55" spans="1:16" x14ac:dyDescent="0.2">
      <c r="A55" s="15"/>
      <c r="B55" t="s">
        <v>90</v>
      </c>
      <c r="F55" s="194">
        <f>INDEX(Lookup!$C$15:$Z$15,1,MATCH($J$6,Lookup!$C$1:$Z$1,0))</f>
        <v>-2259</v>
      </c>
      <c r="G55" s="16" t="s">
        <v>78</v>
      </c>
      <c r="H55" s="37">
        <f>H36</f>
        <v>9.5</v>
      </c>
      <c r="I55" s="16" t="str">
        <f>I32</f>
        <v>MWh</v>
      </c>
      <c r="J55" s="54">
        <f t="shared" si="5"/>
        <v>0</v>
      </c>
      <c r="L55" s="195">
        <f>INDEX(Lookup!$C$15:$Z$15,1,MATCH($P$6,Lookup!$C$1:$Z$1,0))</f>
        <v>-2259</v>
      </c>
      <c r="M55" s="16" t="s">
        <v>78</v>
      </c>
      <c r="N55" s="37">
        <f>N36</f>
        <v>9.5</v>
      </c>
      <c r="O55" s="16" t="str">
        <f>O32</f>
        <v>MWh</v>
      </c>
      <c r="P55" s="54">
        <f t="shared" si="6"/>
        <v>0</v>
      </c>
    </row>
    <row r="56" spans="1:16" x14ac:dyDescent="0.2">
      <c r="A56" s="15"/>
      <c r="B56" t="s">
        <v>92</v>
      </c>
      <c r="F56" s="194">
        <f>INDEX(Lookup!$C$16:$Z$16,1,MATCH($J$6,Lookup!$C$1:$Z$1,0))</f>
        <v>-1576</v>
      </c>
      <c r="G56" s="16" t="s">
        <v>78</v>
      </c>
      <c r="H56" s="37">
        <f>H37</f>
        <v>22.060000000000002</v>
      </c>
      <c r="I56" s="16" t="str">
        <f>I32</f>
        <v>MWh</v>
      </c>
      <c r="J56" s="54">
        <f t="shared" si="5"/>
        <v>0</v>
      </c>
      <c r="L56" s="195">
        <f>INDEX(Lookup!$C$16:$Z$16,1,MATCH($P$6,Lookup!$C$1:$Z$1,0))</f>
        <v>-1576</v>
      </c>
      <c r="M56" s="16" t="s">
        <v>78</v>
      </c>
      <c r="N56" s="37">
        <f>N37</f>
        <v>22.060000000000002</v>
      </c>
      <c r="O56" s="16" t="str">
        <f>O32</f>
        <v>MWh</v>
      </c>
      <c r="P56" s="54">
        <f t="shared" si="6"/>
        <v>0</v>
      </c>
    </row>
    <row r="57" spans="1:16" x14ac:dyDescent="0.2">
      <c r="A57" s="21"/>
      <c r="B57" s="19" t="s">
        <v>94</v>
      </c>
      <c r="C57" s="19"/>
      <c r="D57" s="19"/>
      <c r="E57" s="19"/>
      <c r="F57" s="194">
        <f>INDEX(Lookup!$C$17:$Z$17,1,MATCH($J$6,Lookup!$C$1:$Z$1,0))</f>
        <v>-1292</v>
      </c>
      <c r="G57" s="20" t="s">
        <v>78</v>
      </c>
      <c r="H57" s="46">
        <f>H38</f>
        <v>0</v>
      </c>
      <c r="I57" s="20" t="str">
        <f>I32</f>
        <v>MWh</v>
      </c>
      <c r="J57" s="57">
        <f t="shared" si="5"/>
        <v>0</v>
      </c>
      <c r="L57" s="196">
        <f>INDEX(Lookup!$C$17:$Z$17,1,MATCH($P$6,Lookup!$C$1:$Z$1,0))</f>
        <v>-1292</v>
      </c>
      <c r="M57" s="20" t="s">
        <v>78</v>
      </c>
      <c r="N57" s="46">
        <f>N38</f>
        <v>0</v>
      </c>
      <c r="O57" s="20" t="str">
        <f>O32</f>
        <v>MWh</v>
      </c>
      <c r="P57" s="57">
        <f t="shared" si="6"/>
        <v>0</v>
      </c>
    </row>
    <row r="58" spans="1:16" x14ac:dyDescent="0.2">
      <c r="A58" s="22" t="s">
        <v>109</v>
      </c>
      <c r="B58" s="23"/>
      <c r="C58" s="23"/>
      <c r="D58" s="23"/>
      <c r="E58" s="23"/>
      <c r="F58" s="24"/>
      <c r="G58" s="25"/>
      <c r="H58" s="49"/>
      <c r="I58" s="25"/>
      <c r="J58" s="60">
        <f>SUM(J53:J57)</f>
        <v>0</v>
      </c>
      <c r="L58" s="22" t="s">
        <v>109</v>
      </c>
      <c r="M58" s="25"/>
      <c r="N58" s="49"/>
      <c r="O58" s="25"/>
      <c r="P58" s="60">
        <f>SUM(P53:P57)</f>
        <v>0</v>
      </c>
    </row>
    <row r="59" spans="1:16" ht="9" customHeight="1" x14ac:dyDescent="0.2">
      <c r="J59" s="7"/>
      <c r="P59" s="7"/>
    </row>
    <row r="60" spans="1:16" x14ac:dyDescent="0.2">
      <c r="A60" s="22" t="s">
        <v>110</v>
      </c>
      <c r="B60" s="23"/>
      <c r="C60" s="23"/>
      <c r="D60" s="23"/>
      <c r="E60" s="23"/>
      <c r="F60" s="24"/>
      <c r="G60" s="25"/>
      <c r="H60" s="49"/>
      <c r="I60" s="25"/>
      <c r="J60" s="60">
        <f>SUM(J50,J58)</f>
        <v>7674997.0719891433</v>
      </c>
      <c r="L60" s="221" t="s">
        <v>110</v>
      </c>
      <c r="M60" s="222"/>
      <c r="N60" s="223"/>
      <c r="O60" s="222"/>
      <c r="P60" s="224">
        <f>SUM(P50,P58)</f>
        <v>8085250.8470047414</v>
      </c>
    </row>
    <row r="61" spans="1:16" ht="12.75" customHeight="1" x14ac:dyDescent="0.2">
      <c r="J61" s="7"/>
      <c r="L61" s="225" t="s">
        <v>111</v>
      </c>
      <c r="M61" s="226"/>
      <c r="N61" s="226"/>
      <c r="O61" s="226"/>
      <c r="P61" s="227">
        <f>P60/J60-1</f>
        <v>5.3453280980766849E-2</v>
      </c>
    </row>
    <row r="62" spans="1:16" ht="9" customHeight="1" x14ac:dyDescent="0.2">
      <c r="J62" s="7"/>
      <c r="P62" s="7"/>
    </row>
    <row r="63" spans="1:16" x14ac:dyDescent="0.2">
      <c r="A63" s="22" t="s">
        <v>112</v>
      </c>
      <c r="B63" s="23"/>
      <c r="C63" s="23"/>
      <c r="D63" s="23"/>
      <c r="E63" s="23"/>
      <c r="F63" s="27"/>
      <c r="G63" s="25"/>
      <c r="H63" s="26"/>
      <c r="I63" s="25"/>
      <c r="J63" s="60">
        <f>INDEX('Site Data Input'!$M$2:$M$6,MATCH($P$7,'Site Data Input'!$A$2:$A$6),1)</f>
        <v>12043433.431246819</v>
      </c>
      <c r="L63" s="214" t="s">
        <v>112</v>
      </c>
      <c r="M63" s="215"/>
      <c r="N63" s="216">
        <f>N17</f>
        <v>251907.24302190845</v>
      </c>
      <c r="O63" s="217" t="s">
        <v>56</v>
      </c>
      <c r="P63" s="218">
        <f>N63*$N$21</f>
        <v>12043433.431246819</v>
      </c>
    </row>
    <row r="64" spans="1:16" ht="9" customHeight="1" x14ac:dyDescent="0.2">
      <c r="J64" s="7"/>
      <c r="P64" s="7"/>
    </row>
    <row r="65" spans="1:16" x14ac:dyDescent="0.2">
      <c r="A65" s="5" t="s">
        <v>113</v>
      </c>
      <c r="B65" s="5"/>
      <c r="C65" s="5"/>
      <c r="D65" s="5"/>
      <c r="E65" s="5"/>
      <c r="F65" s="5"/>
      <c r="G65" s="5"/>
      <c r="H65" s="5"/>
      <c r="I65" s="5"/>
      <c r="J65" s="61">
        <f>SUM(J60,J63)</f>
        <v>19718430.503235962</v>
      </c>
      <c r="L65" s="5" t="s">
        <v>113</v>
      </c>
      <c r="M65" s="5"/>
      <c r="N65" s="5"/>
      <c r="O65" s="5"/>
      <c r="P65" s="61">
        <f>SUM(P60,P63)</f>
        <v>20128684.278251559</v>
      </c>
    </row>
    <row r="66" spans="1:16" ht="12.75" customHeight="1" x14ac:dyDescent="0.2">
      <c r="J66" s="7"/>
      <c r="L66" s="209" t="s">
        <v>114</v>
      </c>
      <c r="M66" s="210"/>
      <c r="N66" s="210"/>
      <c r="O66" s="210"/>
      <c r="P66" s="211">
        <f>P65/J65-1</f>
        <v>2.0805599864972546E-2</v>
      </c>
    </row>
  </sheetData>
  <mergeCells count="12">
    <mergeCell ref="N11:O11"/>
    <mergeCell ref="A25:J25"/>
    <mergeCell ref="C1:H1"/>
    <mergeCell ref="C2:H2"/>
    <mergeCell ref="C3:H3"/>
    <mergeCell ref="C4:E4"/>
    <mergeCell ref="H11:I11"/>
    <mergeCell ref="A24:E24"/>
    <mergeCell ref="F24:G24"/>
    <mergeCell ref="H24:I24"/>
    <mergeCell ref="L24:M24"/>
    <mergeCell ref="N24:O24"/>
  </mergeCells>
  <conditionalFormatting sqref="A52:J52 A53:E57 G53:J57">
    <cfRule type="expression" dxfId="14" priority="5">
      <formula>$H$13="No"</formula>
    </cfRule>
  </conditionalFormatting>
  <conditionalFormatting sqref="L52:P52 M53:P57">
    <cfRule type="expression" dxfId="13" priority="4">
      <formula>$N$13="No"</formula>
    </cfRule>
  </conditionalFormatting>
  <conditionalFormatting sqref="F53:F57">
    <cfRule type="expression" dxfId="12" priority="3">
      <formula>$H$13="No"</formula>
    </cfRule>
  </conditionalFormatting>
  <conditionalFormatting sqref="L53">
    <cfRule type="expression" dxfId="11" priority="2">
      <formula>$H$13="No"</formula>
    </cfRule>
  </conditionalFormatting>
  <conditionalFormatting sqref="L54:L57">
    <cfRule type="expression" dxfId="10" priority="1">
      <formula>$H$13="No"</formula>
    </cfRule>
  </conditionalFormatting>
  <dataValidations count="6">
    <dataValidation allowBlank="1" showInputMessage="1" sqref="C4:F4 C1:H3 L9 P7 N6:N8 O6:P6" xr:uid="{56221ACD-CEDD-46D6-BFCB-34E5CE7D411F}"/>
    <dataValidation allowBlank="1" showErrorMessage="1" promptTitle="Reference" prompt="For more information, see the definition of metered demand in the Consolidated Authoritative Documents Glossary." sqref="M20:M22 M12:M13 G12:G22" xr:uid="{1109AD46-0CAC-4EC8-B1A4-539FE4E3CAA2}"/>
    <dataValidation allowBlank="1" showInputMessage="1" showErrorMessage="1" promptTitle="Reference" prompt="For more information, see the definition of billing capacity in the Consolidated Authoritative Documents Glossary." sqref="G17" xr:uid="{BDFDD189-9734-492C-A310-233919D939D1}"/>
    <dataValidation allowBlank="1" showInputMessage="1" showErrorMessage="1" promptTitle="Reference" prompt="For more information, see subsection 7(b) of Rate DTS: Demand Transmission Service in the ISO tariff." sqref="M20 G20" xr:uid="{EE4FE4B5-5482-46D4-A23D-04C888350951}"/>
    <dataValidation allowBlank="1" showInputMessage="1" showErrorMessage="1" promptTitle="Reference" prompt="For more information, see subsection 4(2) of Rate DTS: Demand Transmission Service in the ISO tariff." sqref="G19" xr:uid="{8DA5DC5E-D507-4110-BF49-27E16FE55177}"/>
    <dataValidation allowBlank="1" showErrorMessage="1" sqref="H13" xr:uid="{B93F233A-082B-4B1F-A249-CB7FDE22200F}"/>
  </dataValidations>
  <printOptions horizontalCentered="1"/>
  <pageMargins left="0.25" right="0.25" top="0.5" bottom="0.5" header="0.3" footer="0.3"/>
  <pageSetup scale="93" orientation="portrait" r:id="rId1"/>
  <headerFooter alignWithMargins="0">
    <oddFooter>&amp;L&amp;8Attachment to Bill Estimator for 2021 Tariff (AESO ID #2021-015T)
Filename: &amp;F — Page&amp;P of &amp;N&amp;R&amp;8Confidentiality: Proprietary When Completed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31D55-4BB5-4252-B1AF-E2689961A970}">
  <sheetPr>
    <pageSetUpPr fitToPage="1"/>
  </sheetPr>
  <dimension ref="A1:P66"/>
  <sheetViews>
    <sheetView showGridLines="0" zoomScale="85" zoomScaleNormal="85" workbookViewId="0">
      <selection activeCell="H22" sqref="H22"/>
    </sheetView>
  </sheetViews>
  <sheetFormatPr defaultColWidth="9.5703125" defaultRowHeight="12.75" x14ac:dyDescent="0.2"/>
  <cols>
    <col min="1" max="1" width="7.42578125" customWidth="1"/>
    <col min="2" max="2" width="8.42578125" customWidth="1"/>
    <col min="3" max="3" width="26.5703125" customWidth="1"/>
    <col min="4" max="4" width="8.5703125" customWidth="1"/>
    <col min="5" max="6" width="10.5703125" customWidth="1"/>
    <col min="7" max="7" width="15.7109375" customWidth="1"/>
    <col min="8" max="9" width="10.42578125" customWidth="1"/>
    <col min="10" max="10" width="15.7109375" customWidth="1"/>
    <col min="12" max="12" width="10.5703125" customWidth="1"/>
    <col min="13" max="13" width="17.28515625" customWidth="1"/>
    <col min="14" max="15" width="10.42578125" customWidth="1"/>
    <col min="16" max="16" width="15.140625" customWidth="1"/>
  </cols>
  <sheetData>
    <row r="1" spans="1:16" ht="18.75" x14ac:dyDescent="0.4">
      <c r="A1" s="41" t="s">
        <v>20</v>
      </c>
      <c r="C1" s="266" t="str">
        <f>ParticipantName</f>
        <v>DFO</v>
      </c>
      <c r="D1" s="266"/>
      <c r="E1" s="266"/>
      <c r="F1" s="266"/>
      <c r="G1" s="266"/>
      <c r="H1" s="266"/>
      <c r="L1" s="160" t="s">
        <v>148</v>
      </c>
      <c r="M1" s="160"/>
      <c r="N1" s="160"/>
      <c r="O1" s="160"/>
      <c r="P1" s="146">
        <f>$P$61</f>
        <v>7.3954625309949451E-2</v>
      </c>
    </row>
    <row r="2" spans="1:16" x14ac:dyDescent="0.2">
      <c r="A2" s="41" t="s">
        <v>21</v>
      </c>
      <c r="C2" s="266" t="str">
        <f>SiteDescription</f>
        <v>Sample Site</v>
      </c>
      <c r="D2" s="266"/>
      <c r="E2" s="266"/>
      <c r="F2" s="266"/>
      <c r="G2" s="266"/>
      <c r="H2" s="266"/>
    </row>
    <row r="3" spans="1:16" x14ac:dyDescent="0.2">
      <c r="A3" t="s">
        <v>34</v>
      </c>
      <c r="C3" s="266" t="str">
        <f>AccountID</f>
        <v>1000XXXXX</v>
      </c>
      <c r="D3" s="266"/>
      <c r="E3" s="266"/>
      <c r="F3" s="266"/>
      <c r="G3" s="266"/>
      <c r="H3" s="266"/>
    </row>
    <row r="4" spans="1:16" x14ac:dyDescent="0.2">
      <c r="A4" t="s">
        <v>23</v>
      </c>
      <c r="C4" s="269">
        <f ca="1">TODAY()</f>
        <v>44292</v>
      </c>
      <c r="D4" s="269"/>
      <c r="E4" s="269"/>
      <c r="F4" s="41"/>
      <c r="G4" s="34"/>
      <c r="H4" s="35"/>
    </row>
    <row r="5" spans="1:16" s="4" customFormat="1" ht="7.15" customHeight="1" x14ac:dyDescent="0.15"/>
    <row r="6" spans="1:16" x14ac:dyDescent="0.2">
      <c r="I6" s="36" t="s">
        <v>35</v>
      </c>
      <c r="J6" s="106" t="s">
        <v>36</v>
      </c>
      <c r="O6" s="36" t="s">
        <v>35</v>
      </c>
      <c r="P6" s="106" t="s">
        <v>37</v>
      </c>
    </row>
    <row r="7" spans="1:16" ht="15.75" x14ac:dyDescent="0.25">
      <c r="I7" s="112"/>
      <c r="O7" s="142" t="s">
        <v>38</v>
      </c>
      <c r="P7" s="108">
        <v>2017</v>
      </c>
    </row>
    <row r="9" spans="1:16" x14ac:dyDescent="0.2">
      <c r="I9" s="36"/>
      <c r="J9" s="107"/>
      <c r="L9" s="41"/>
      <c r="M9" s="34"/>
      <c r="N9" s="35"/>
      <c r="O9" s="36"/>
      <c r="P9" s="107"/>
    </row>
    <row r="10" spans="1:16" x14ac:dyDescent="0.2">
      <c r="J10" s="8"/>
      <c r="P10" s="8"/>
    </row>
    <row r="11" spans="1:16" x14ac:dyDescent="0.2">
      <c r="B11" s="6" t="s">
        <v>39</v>
      </c>
      <c r="C11" s="6"/>
      <c r="D11" s="6"/>
      <c r="E11" s="6"/>
      <c r="F11" s="6" t="s">
        <v>40</v>
      </c>
      <c r="G11" s="6" t="s">
        <v>41</v>
      </c>
      <c r="H11" s="262" t="s">
        <v>146</v>
      </c>
      <c r="I11" s="262"/>
      <c r="K11" s="6"/>
      <c r="L11" s="6"/>
      <c r="M11" s="6"/>
      <c r="N11" s="262" t="s">
        <v>146</v>
      </c>
      <c r="O11" s="262"/>
    </row>
    <row r="12" spans="1:16" x14ac:dyDescent="0.2">
      <c r="B12" s="112" t="s">
        <v>43</v>
      </c>
      <c r="C12" t="s">
        <v>44</v>
      </c>
      <c r="G12" s="8"/>
      <c r="H12" s="39">
        <f>INDEX('Site Data Input'!$E$2:$E$6,MATCH($P$7,'Site Data Input'!$A$2:$A$6),1)</f>
        <v>1</v>
      </c>
      <c r="M12" s="8"/>
      <c r="N12" s="39">
        <f t="shared" ref="N12:N22" si="0">H12</f>
        <v>1</v>
      </c>
    </row>
    <row r="13" spans="1:16" x14ac:dyDescent="0.2">
      <c r="B13" s="112" t="s">
        <v>45</v>
      </c>
      <c r="C13" s="41" t="s">
        <v>46</v>
      </c>
      <c r="G13" s="8"/>
      <c r="H13" s="125" t="str">
        <f>INDEX('Site Data Input'!$F$2:$F$6,MATCH($P$7,'Site Data Input'!$A$2:$A$6),1)</f>
        <v>No</v>
      </c>
      <c r="M13" s="8"/>
      <c r="N13" s="39" t="str">
        <f t="shared" si="0"/>
        <v>No</v>
      </c>
    </row>
    <row r="14" spans="1:16" x14ac:dyDescent="0.2">
      <c r="B14" s="112" t="s">
        <v>47</v>
      </c>
      <c r="C14" t="s">
        <v>48</v>
      </c>
      <c r="G14" s="37">
        <f>INDEX('Site Data Input'!$L$2:$L$6,MATCH($P$7,'Site Data Input'!$A$2:$A$6),1)/12</f>
        <v>33.073885117896516</v>
      </c>
      <c r="H14" s="37">
        <f>G14*12</f>
        <v>396.88662141475822</v>
      </c>
      <c r="I14" s="41" t="s">
        <v>49</v>
      </c>
      <c r="M14" s="6"/>
      <c r="N14" s="37">
        <f t="shared" si="0"/>
        <v>396.88662141475822</v>
      </c>
      <c r="O14" s="41" t="s">
        <v>49</v>
      </c>
    </row>
    <row r="15" spans="1:16" x14ac:dyDescent="0.2">
      <c r="B15" s="112" t="s">
        <v>50</v>
      </c>
      <c r="C15" t="s">
        <v>77</v>
      </c>
      <c r="F15" s="123">
        <f>H15/H14</f>
        <v>0.79489797350488389</v>
      </c>
      <c r="G15" s="37">
        <f>INDEX('Site Data Input'!$I$2:$I$6,MATCH($P$7,'Site Data Input'!$A$2:$A$6),1)/12</f>
        <v>26.290364256149278</v>
      </c>
      <c r="H15" s="37">
        <f>G15*12</f>
        <v>315.48437107379135</v>
      </c>
      <c r="I15" s="41" t="s">
        <v>49</v>
      </c>
      <c r="M15" s="6"/>
      <c r="N15" s="174">
        <f t="shared" si="0"/>
        <v>315.48437107379135</v>
      </c>
      <c r="O15" s="41" t="s">
        <v>49</v>
      </c>
    </row>
    <row r="16" spans="1:16" x14ac:dyDescent="0.2">
      <c r="B16" s="112" t="s">
        <v>54</v>
      </c>
      <c r="C16" s="41" t="s">
        <v>53</v>
      </c>
      <c r="G16" s="122">
        <f>INDEX('Site Data Input'!$G$2:$G$6,MATCH($P$7,'Site Data Input'!$A$2:$A$6),1)</f>
        <v>43.4</v>
      </c>
      <c r="H16" s="124">
        <f>G16</f>
        <v>43.4</v>
      </c>
      <c r="I16" s="41" t="s">
        <v>49</v>
      </c>
      <c r="M16" s="6"/>
      <c r="N16" s="37">
        <f t="shared" si="0"/>
        <v>43.4</v>
      </c>
      <c r="O16" s="41" t="s">
        <v>49</v>
      </c>
    </row>
    <row r="17" spans="1:16" x14ac:dyDescent="0.2">
      <c r="B17" s="112" t="s">
        <v>57</v>
      </c>
      <c r="C17" t="s">
        <v>55</v>
      </c>
      <c r="F17" s="123">
        <f>H17/(G14*VLOOKUP($P$7,Year_hours,2,FALSE))</f>
        <v>0.90410561557273939</v>
      </c>
      <c r="G17" s="38">
        <f>H17/12</f>
        <v>21828.668242645464</v>
      </c>
      <c r="H17" s="38">
        <f>INDEX('Site Data Input'!$H$2:$H$6,MATCH($P$7,'Site Data Input'!$A$2:$A$6),1)</f>
        <v>261944.01891174557</v>
      </c>
      <c r="I17" s="41" t="s">
        <v>56</v>
      </c>
      <c r="M17" s="6"/>
      <c r="N17" s="38">
        <f t="shared" si="0"/>
        <v>261944.01891174557</v>
      </c>
      <c r="O17" s="41" t="s">
        <v>56</v>
      </c>
    </row>
    <row r="18" spans="1:16" x14ac:dyDescent="0.2">
      <c r="B18" s="112" t="s">
        <v>59</v>
      </c>
      <c r="C18" t="s">
        <v>58</v>
      </c>
      <c r="G18" s="37">
        <f>H18/12</f>
        <v>39.06</v>
      </c>
      <c r="H18" s="37">
        <f>MAX(G14,G16*90%)*12</f>
        <v>468.72</v>
      </c>
      <c r="I18" s="41" t="s">
        <v>49</v>
      </c>
      <c r="M18" s="158"/>
      <c r="N18" s="37">
        <f t="shared" si="0"/>
        <v>468.72</v>
      </c>
      <c r="O18" s="41" t="s">
        <v>49</v>
      </c>
    </row>
    <row r="19" spans="1:16" x14ac:dyDescent="0.2">
      <c r="B19" s="112" t="s">
        <v>61</v>
      </c>
      <c r="C19" t="s">
        <v>60</v>
      </c>
      <c r="G19" s="8"/>
      <c r="H19" s="151">
        <f>INDEX('Site Data Input'!$N$2:$N$6,MATCH($P$7,'Site Data Input'!$A$2:$A$6),1)/(INDEX('Site Data Input'!$H$2:$H$6,MATCH($P$7,'Site Data Input'!$A$2:$A$6),1)*$H$22)</f>
        <v>9.1209100069156723E-2</v>
      </c>
      <c r="I19" s="16"/>
      <c r="M19" s="6"/>
      <c r="N19" s="94">
        <f t="shared" si="0"/>
        <v>9.1209100069156723E-2</v>
      </c>
      <c r="O19" s="16"/>
    </row>
    <row r="20" spans="1:16" x14ac:dyDescent="0.2">
      <c r="B20" s="112" t="s">
        <v>147</v>
      </c>
      <c r="C20" s="41" t="s">
        <v>153</v>
      </c>
      <c r="G20" s="92"/>
      <c r="H20" s="37">
        <f>INDEX('Site Data Input'!$R$2:$R$6,MATCH($P$7,'Site Data Input'!$A$2:$A$6),1)/INDEX(Lookup!$C$24:$Z$24,1,MATCH($J$6,Lookup!$C$1:$Z$1,0))</f>
        <v>0</v>
      </c>
      <c r="I20" s="41" t="s">
        <v>63</v>
      </c>
      <c r="M20" s="92"/>
      <c r="N20" s="37">
        <f t="shared" si="0"/>
        <v>0</v>
      </c>
      <c r="O20" s="41" t="s">
        <v>63</v>
      </c>
    </row>
    <row r="21" spans="1:16" x14ac:dyDescent="0.2">
      <c r="B21" s="112" t="s">
        <v>64</v>
      </c>
      <c r="C21" s="41" t="s">
        <v>65</v>
      </c>
      <c r="G21" s="8"/>
      <c r="H21" s="93">
        <f>INDEX('Site Data Input'!$M$2:$M$6,MATCH($P$7,'Site Data Input'!$A$2:$A$6),1)/INDEX('Site Data Input'!$H$2:$H$6,MATCH($P$7,'Site Data Input'!$A$2:$A$6),1)</f>
        <v>21.997866896446965</v>
      </c>
      <c r="I21" s="16" t="s">
        <v>66</v>
      </c>
      <c r="M21" s="8"/>
      <c r="N21" s="93">
        <f t="shared" si="0"/>
        <v>21.997866896446965</v>
      </c>
      <c r="O21" s="16" t="s">
        <v>66</v>
      </c>
    </row>
    <row r="22" spans="1:16" x14ac:dyDescent="0.2">
      <c r="B22" s="112" t="s">
        <v>67</v>
      </c>
      <c r="C22" s="41" t="s">
        <v>68</v>
      </c>
      <c r="G22" s="8"/>
      <c r="H22" s="93">
        <f>INDEX(Lookup!$C$18:$Z$18,1,MATCH($P$7,Lookup!$C$1:$Z$1,0))</f>
        <v>22.19</v>
      </c>
      <c r="I22" s="16" t="s">
        <v>66</v>
      </c>
      <c r="M22" s="8"/>
      <c r="N22" s="93">
        <f t="shared" si="0"/>
        <v>22.19</v>
      </c>
      <c r="O22" s="16" t="s">
        <v>66</v>
      </c>
    </row>
    <row r="24" spans="1:16" x14ac:dyDescent="0.2">
      <c r="A24" s="262" t="s">
        <v>69</v>
      </c>
      <c r="B24" s="262"/>
      <c r="C24" s="262"/>
      <c r="D24" s="262"/>
      <c r="E24" s="262"/>
      <c r="F24" s="262" t="s">
        <v>70</v>
      </c>
      <c r="G24" s="262"/>
      <c r="H24" s="262" t="s">
        <v>71</v>
      </c>
      <c r="I24" s="262"/>
      <c r="J24" s="40" t="s">
        <v>72</v>
      </c>
      <c r="L24" s="262" t="s">
        <v>70</v>
      </c>
      <c r="M24" s="262"/>
      <c r="N24" s="262" t="s">
        <v>71</v>
      </c>
      <c r="O24" s="262"/>
      <c r="P24" s="40" t="s">
        <v>72</v>
      </c>
    </row>
    <row r="25" spans="1:16" s="41" customFormat="1" x14ac:dyDescent="0.2">
      <c r="A25" s="263" t="s">
        <v>73</v>
      </c>
      <c r="B25" s="264"/>
      <c r="C25" s="264"/>
      <c r="D25" s="264"/>
      <c r="E25" s="264"/>
      <c r="F25" s="264"/>
      <c r="G25" s="264"/>
      <c r="H25" s="264"/>
      <c r="I25" s="264"/>
      <c r="J25" s="265"/>
      <c r="L25" s="228" t="s">
        <v>73</v>
      </c>
      <c r="M25" s="229"/>
      <c r="N25" s="229"/>
      <c r="O25" s="229"/>
      <c r="P25" s="230"/>
    </row>
    <row r="26" spans="1:16" x14ac:dyDescent="0.2">
      <c r="A26" s="5" t="s">
        <v>74</v>
      </c>
      <c r="C26" s="5"/>
      <c r="D26" s="5"/>
      <c r="E26" s="5"/>
      <c r="F26" s="5"/>
      <c r="G26" s="5"/>
      <c r="H26" s="42"/>
      <c r="I26" s="5"/>
      <c r="J26" s="9"/>
      <c r="L26" s="5"/>
      <c r="M26" s="5"/>
      <c r="N26" s="42"/>
      <c r="O26" s="5"/>
      <c r="P26" s="9"/>
    </row>
    <row r="27" spans="1:16" x14ac:dyDescent="0.2">
      <c r="A27" s="28" t="s">
        <v>75</v>
      </c>
      <c r="B27" s="29"/>
      <c r="C27" s="29"/>
      <c r="D27" s="29"/>
      <c r="E27" s="29"/>
      <c r="F27" s="30"/>
      <c r="G27" s="29"/>
      <c r="H27" s="43"/>
      <c r="I27" s="29"/>
      <c r="J27" s="53"/>
      <c r="L27" s="113"/>
      <c r="M27" s="29"/>
      <c r="N27" s="43"/>
      <c r="O27" s="29"/>
      <c r="P27" s="53"/>
    </row>
    <row r="28" spans="1:16" x14ac:dyDescent="0.2">
      <c r="A28" s="15" t="s">
        <v>76</v>
      </c>
      <c r="B28" t="s">
        <v>77</v>
      </c>
      <c r="F28" s="88">
        <f>INDEX(Lookup!$C$4:$Z$4,1,MATCH($J$6,Lookup!$C$1:$Z$1,0))</f>
        <v>10087</v>
      </c>
      <c r="G28" s="16" t="s">
        <v>78</v>
      </c>
      <c r="H28" s="37">
        <f>H15</f>
        <v>315.48437107379135</v>
      </c>
      <c r="I28" s="16" t="str">
        <f>I15</f>
        <v>MW</v>
      </c>
      <c r="J28" s="54">
        <f>F28*H28</f>
        <v>3182290.8510213331</v>
      </c>
      <c r="L28" s="114">
        <f>INDEX(Lookup!$C$4:$Z$4,1,MATCH($P$6,Lookup!$C$1:$Z$1,0))</f>
        <v>5980</v>
      </c>
      <c r="M28" s="16" t="s">
        <v>78</v>
      </c>
      <c r="N28" s="37">
        <f>N15</f>
        <v>315.48437107379135</v>
      </c>
      <c r="O28" s="16" t="str">
        <f>O15</f>
        <v>MW</v>
      </c>
      <c r="P28" s="54">
        <f>L28*N28</f>
        <v>1886596.5390212722</v>
      </c>
    </row>
    <row r="29" spans="1:16" x14ac:dyDescent="0.2">
      <c r="A29" s="31" t="s">
        <v>79</v>
      </c>
      <c r="B29" s="32"/>
      <c r="C29" s="32"/>
      <c r="D29" s="32"/>
      <c r="E29" s="32"/>
      <c r="F29" s="33"/>
      <c r="G29" s="32"/>
      <c r="H29" s="45"/>
      <c r="I29" s="32"/>
      <c r="J29" s="56"/>
      <c r="L29" s="115"/>
      <c r="M29" s="32"/>
      <c r="N29" s="45"/>
      <c r="O29" s="32"/>
      <c r="P29" s="56"/>
    </row>
    <row r="30" spans="1:16" x14ac:dyDescent="0.2">
      <c r="A30" s="77" t="s">
        <v>80</v>
      </c>
      <c r="B30" t="s">
        <v>58</v>
      </c>
      <c r="F30" s="88">
        <f>INDEX(Lookup!$C$6:$Z$6,1,MATCH($J$6,Lookup!$C$1:$Z$1,0))</f>
        <v>2668</v>
      </c>
      <c r="G30" s="16" t="s">
        <v>78</v>
      </c>
      <c r="H30" s="37">
        <f>H18</f>
        <v>468.72</v>
      </c>
      <c r="I30" s="16" t="str">
        <f>I18</f>
        <v>MW</v>
      </c>
      <c r="J30" s="54">
        <f>F30*H30</f>
        <v>1250544.96</v>
      </c>
      <c r="L30" s="114">
        <f>INDEX(Lookup!$C$6:$Z$6,1,MATCH($P$6,Lookup!$C$1:$Z$1,0))</f>
        <v>2055</v>
      </c>
      <c r="M30" s="16" t="s">
        <v>78</v>
      </c>
      <c r="N30" s="37">
        <f>N18</f>
        <v>468.72</v>
      </c>
      <c r="O30" s="16" t="str">
        <f>O18</f>
        <v>MW</v>
      </c>
      <c r="P30" s="54">
        <f>L30*N30</f>
        <v>963219.60000000009</v>
      </c>
    </row>
    <row r="31" spans="1:16" x14ac:dyDescent="0.2">
      <c r="A31" s="31" t="s">
        <v>81</v>
      </c>
      <c r="B31" s="32"/>
      <c r="C31" s="32"/>
      <c r="D31" s="32"/>
      <c r="E31" s="32"/>
      <c r="F31" s="33"/>
      <c r="G31" s="32"/>
      <c r="H31" s="45"/>
      <c r="I31" s="32"/>
      <c r="J31" s="56"/>
      <c r="L31" s="115"/>
      <c r="M31" s="32"/>
      <c r="N31" s="45"/>
      <c r="O31" s="32"/>
      <c r="P31" s="56"/>
    </row>
    <row r="32" spans="1:16" x14ac:dyDescent="0.2">
      <c r="A32" s="111" t="s">
        <v>82</v>
      </c>
      <c r="B32" s="17" t="s">
        <v>55</v>
      </c>
      <c r="C32" s="17"/>
      <c r="D32" s="17"/>
      <c r="E32" s="17"/>
      <c r="F32" s="88">
        <f>INDEX(Lookup!$C$7:$Z$7,1,MATCH($J$6,Lookup!$C$1:$Z$1,0))</f>
        <v>2.1799999999999997</v>
      </c>
      <c r="G32" s="18" t="s">
        <v>66</v>
      </c>
      <c r="H32" s="44">
        <f>H17</f>
        <v>261944.01891174557</v>
      </c>
      <c r="I32" s="18" t="str">
        <f>I17</f>
        <v>MWh</v>
      </c>
      <c r="J32" s="55">
        <f>F32*H32</f>
        <v>571037.96122760524</v>
      </c>
      <c r="L32" s="114">
        <f>INDEX(Lookup!$C$7:$Z$7,1,MATCH($P$6,Lookup!$C$1:$Z$1,0))</f>
        <v>10.19</v>
      </c>
      <c r="M32" s="18" t="s">
        <v>66</v>
      </c>
      <c r="N32" s="44">
        <f>N17</f>
        <v>261944.01891174557</v>
      </c>
      <c r="O32" s="18" t="str">
        <f>O17</f>
        <v>MWh</v>
      </c>
      <c r="P32" s="55">
        <f>L32*N32</f>
        <v>2669209.5527106873</v>
      </c>
    </row>
    <row r="33" spans="1:16" x14ac:dyDescent="0.2">
      <c r="A33" s="31" t="s">
        <v>83</v>
      </c>
      <c r="B33" s="32"/>
      <c r="C33" s="32"/>
      <c r="D33" s="32"/>
      <c r="E33" s="32"/>
      <c r="F33" s="33"/>
      <c r="G33" s="32"/>
      <c r="H33" s="45"/>
      <c r="I33" s="32"/>
      <c r="J33" s="56"/>
      <c r="L33" s="115"/>
      <c r="M33" s="32"/>
      <c r="N33" s="45"/>
      <c r="O33" s="32"/>
      <c r="P33" s="56"/>
    </row>
    <row r="34" spans="1:16" x14ac:dyDescent="0.2">
      <c r="A34" s="15" t="s">
        <v>84</v>
      </c>
      <c r="B34" t="s">
        <v>85</v>
      </c>
      <c r="F34" s="88">
        <f>INDEX(Lookup!$C$8:$Z$8,1,MATCH($J$6,Lookup!$C$1:$Z$1,0))</f>
        <v>11278</v>
      </c>
      <c r="G34" s="16" t="s">
        <v>86</v>
      </c>
      <c r="H34" s="39">
        <f>H12</f>
        <v>1</v>
      </c>
      <c r="J34" s="54">
        <f>F34*H34*12</f>
        <v>135336</v>
      </c>
      <c r="L34" s="114">
        <f>INDEX(Lookup!$C$8:$Z$8,1,MATCH($J$6,Lookup!$C$1:$Z$1,0))</f>
        <v>11278</v>
      </c>
      <c r="M34" s="16" t="s">
        <v>86</v>
      </c>
      <c r="N34" s="39">
        <f>N12</f>
        <v>1</v>
      </c>
      <c r="P34" s="54">
        <f>L34*N34*12</f>
        <v>135336</v>
      </c>
    </row>
    <row r="35" spans="1:16" x14ac:dyDescent="0.2">
      <c r="A35" s="15" t="s">
        <v>87</v>
      </c>
      <c r="B35" t="s">
        <v>88</v>
      </c>
      <c r="F35" s="88">
        <f>INDEX(Lookup!$C$9:$Z$9,1,MATCH($J$6,Lookup!$C$1:$Z$1,0))</f>
        <v>4566</v>
      </c>
      <c r="G35" s="16" t="s">
        <v>78</v>
      </c>
      <c r="H35" s="37">
        <f>MIN(G18,7.5*H12)</f>
        <v>7.5</v>
      </c>
      <c r="I35" s="16" t="str">
        <f>I18</f>
        <v>MW</v>
      </c>
      <c r="J35" s="54">
        <f t="shared" ref="J35:J38" si="1">F35*H35*12</f>
        <v>410940</v>
      </c>
      <c r="L35" s="114">
        <f>INDEX(Lookup!$C$9:$Z$9,1,MATCH($J$6,Lookup!$C$1:$Z$1,0))</f>
        <v>4566</v>
      </c>
      <c r="M35" s="16" t="s">
        <v>78</v>
      </c>
      <c r="N35" s="37">
        <f>MIN(N18/12,7.5*N12)</f>
        <v>7.5</v>
      </c>
      <c r="O35" s="16" t="str">
        <f>O18</f>
        <v>MW</v>
      </c>
      <c r="P35" s="54">
        <f t="shared" ref="P35:P38" si="2">L35*N35*12</f>
        <v>410940</v>
      </c>
    </row>
    <row r="36" spans="1:16" x14ac:dyDescent="0.2">
      <c r="A36" s="15" t="s">
        <v>89</v>
      </c>
      <c r="B36" t="s">
        <v>90</v>
      </c>
      <c r="F36" s="88">
        <f>INDEX(Lookup!$C$10:$Z$10,1,MATCH($J$6,Lookup!$C$1:$Z$1,0))</f>
        <v>2860</v>
      </c>
      <c r="G36" s="16" t="s">
        <v>78</v>
      </c>
      <c r="H36" s="37">
        <f>MAX(MIN(G18,17*H12)-(7.5*H12),0)</f>
        <v>9.5</v>
      </c>
      <c r="I36" s="16" t="str">
        <f>I18</f>
        <v>MW</v>
      </c>
      <c r="J36" s="54">
        <f t="shared" si="1"/>
        <v>326040</v>
      </c>
      <c r="L36" s="114">
        <f>INDEX(Lookup!$C$10:$Z$10,1,MATCH($J$6,Lookup!$C$1:$Z$1,0))</f>
        <v>2860</v>
      </c>
      <c r="M36" s="16" t="s">
        <v>78</v>
      </c>
      <c r="N36" s="37">
        <f>MAX(MIN(N18/12,17*N12)-(7.5*N12),0)</f>
        <v>9.5</v>
      </c>
      <c r="O36" s="16" t="str">
        <f>O18</f>
        <v>MW</v>
      </c>
      <c r="P36" s="54">
        <f t="shared" si="2"/>
        <v>326040</v>
      </c>
    </row>
    <row r="37" spans="1:16" x14ac:dyDescent="0.2">
      <c r="A37" s="15" t="s">
        <v>91</v>
      </c>
      <c r="B37" t="s">
        <v>92</v>
      </c>
      <c r="F37" s="88">
        <f>INDEX(Lookup!$C$11:$Z$11,1,MATCH($J$6,Lookup!$C$1:$Z$1,0))</f>
        <v>1995</v>
      </c>
      <c r="G37" s="16" t="s">
        <v>78</v>
      </c>
      <c r="H37" s="37">
        <f>MAX(MIN(G18,40*H12)-(17*H12),0)</f>
        <v>22.060000000000002</v>
      </c>
      <c r="I37" s="16" t="str">
        <f>I18</f>
        <v>MW</v>
      </c>
      <c r="J37" s="54">
        <f t="shared" si="1"/>
        <v>528116.4</v>
      </c>
      <c r="L37" s="114">
        <f>INDEX(Lookup!$C$11:$Z$11,1,MATCH($J$6,Lookup!$C$1:$Z$1,0))</f>
        <v>1995</v>
      </c>
      <c r="M37" s="16" t="s">
        <v>78</v>
      </c>
      <c r="N37" s="37">
        <f>MAX(MIN(N18/12,40*N12)-(17*N12),0)</f>
        <v>22.060000000000002</v>
      </c>
      <c r="O37" s="16" t="str">
        <f>O18</f>
        <v>MW</v>
      </c>
      <c r="P37" s="54">
        <f t="shared" si="2"/>
        <v>528116.4</v>
      </c>
    </row>
    <row r="38" spans="1:16" x14ac:dyDescent="0.2">
      <c r="A38" s="21" t="s">
        <v>93</v>
      </c>
      <c r="B38" s="19" t="s">
        <v>94</v>
      </c>
      <c r="C38" s="19"/>
      <c r="D38" s="19"/>
      <c r="E38" s="19"/>
      <c r="F38" s="89">
        <f>INDEX(Lookup!$C$12:$Z$12,1,MATCH($J$6,Lookup!$C$1:$Z$1,0))</f>
        <v>1292</v>
      </c>
      <c r="G38" s="20" t="s">
        <v>78</v>
      </c>
      <c r="H38" s="46">
        <f>MAX(G18-(40*H12),0)</f>
        <v>0</v>
      </c>
      <c r="I38" s="20" t="str">
        <f>I18</f>
        <v>MW</v>
      </c>
      <c r="J38" s="57">
        <f t="shared" si="1"/>
        <v>0</v>
      </c>
      <c r="L38" s="116">
        <f>INDEX(Lookup!$C$12:$Z$12,1,MATCH($J$6,Lookup!$C$1:$Z$1,0))</f>
        <v>1292</v>
      </c>
      <c r="M38" s="20" t="s">
        <v>78</v>
      </c>
      <c r="N38" s="46">
        <f>MAX(N18/12-(40*N12),0)</f>
        <v>0</v>
      </c>
      <c r="O38" s="20" t="str">
        <f>O18</f>
        <v>MW</v>
      </c>
      <c r="P38" s="57">
        <f t="shared" si="2"/>
        <v>0</v>
      </c>
    </row>
    <row r="39" spans="1:16" ht="12.75" customHeight="1" x14ac:dyDescent="0.2">
      <c r="A39" s="22" t="s">
        <v>95</v>
      </c>
      <c r="B39" s="23"/>
      <c r="C39" s="23"/>
      <c r="D39" s="23"/>
      <c r="E39" s="23"/>
      <c r="F39" s="24"/>
      <c r="G39" s="25"/>
      <c r="H39" s="49"/>
      <c r="I39" s="25"/>
      <c r="J39" s="60">
        <f>SUM(J28:J38)</f>
        <v>6404306.1722489391</v>
      </c>
      <c r="L39" s="22" t="s">
        <v>95</v>
      </c>
      <c r="M39" s="25"/>
      <c r="N39" s="49"/>
      <c r="O39" s="25"/>
      <c r="P39" s="60">
        <f>SUM(P28:P38)</f>
        <v>6919458.09173196</v>
      </c>
    </row>
    <row r="40" spans="1:16" ht="12.75" customHeight="1" x14ac:dyDescent="0.2">
      <c r="J40" s="7"/>
      <c r="L40" s="193" t="s">
        <v>151</v>
      </c>
      <c r="M40" s="175"/>
      <c r="N40" s="175"/>
      <c r="O40" s="175"/>
      <c r="P40" s="176">
        <f>P39/J39-1</f>
        <v>8.0438365316647609E-2</v>
      </c>
    </row>
    <row r="41" spans="1:16" x14ac:dyDescent="0.2">
      <c r="A41" s="5" t="s">
        <v>96</v>
      </c>
      <c r="C41" s="5"/>
      <c r="D41" s="5"/>
      <c r="E41" s="5"/>
      <c r="F41" s="5"/>
      <c r="G41" s="5"/>
      <c r="H41" s="42"/>
      <c r="I41" s="5"/>
      <c r="J41" s="9"/>
      <c r="L41" s="172"/>
      <c r="M41" s="172"/>
      <c r="N41" s="173"/>
      <c r="O41" s="172"/>
      <c r="P41" s="189"/>
    </row>
    <row r="42" spans="1:16" x14ac:dyDescent="0.2">
      <c r="A42" s="10" t="s">
        <v>97</v>
      </c>
      <c r="B42" s="11" t="s">
        <v>55</v>
      </c>
      <c r="C42" s="11"/>
      <c r="D42" s="51" t="s">
        <v>98</v>
      </c>
      <c r="E42" s="62">
        <f>H19</f>
        <v>9.1209100069156723E-2</v>
      </c>
      <c r="F42" s="52">
        <f>H22</f>
        <v>22.19</v>
      </c>
      <c r="G42" s="50" t="s">
        <v>66</v>
      </c>
      <c r="H42" s="47">
        <f>H17</f>
        <v>261944.01891174557</v>
      </c>
      <c r="I42" s="12" t="str">
        <f>I17</f>
        <v>MWh</v>
      </c>
      <c r="J42" s="58">
        <f>E42*F42*H42</f>
        <v>530156.34</v>
      </c>
      <c r="L42" s="118">
        <f>F42</f>
        <v>22.19</v>
      </c>
      <c r="M42" s="50" t="s">
        <v>66</v>
      </c>
      <c r="N42" s="47">
        <f>N17</f>
        <v>261944.01891174557</v>
      </c>
      <c r="O42" s="12" t="str">
        <f>O17</f>
        <v>MWh</v>
      </c>
      <c r="P42" s="58">
        <f>E42*L42*N42</f>
        <v>530156.34</v>
      </c>
    </row>
    <row r="43" spans="1:16" x14ac:dyDescent="0.2">
      <c r="A43" s="5" t="s">
        <v>99</v>
      </c>
      <c r="C43" s="5"/>
      <c r="D43" s="5"/>
      <c r="E43" s="5"/>
      <c r="F43" s="5"/>
      <c r="G43" s="5"/>
      <c r="H43" s="42"/>
      <c r="I43" s="5"/>
      <c r="J43" s="9"/>
      <c r="L43" s="117"/>
      <c r="M43" s="5"/>
      <c r="N43" s="42"/>
      <c r="O43" s="5"/>
      <c r="P43" s="9"/>
    </row>
    <row r="44" spans="1:16" x14ac:dyDescent="0.2">
      <c r="A44" s="10" t="s">
        <v>100</v>
      </c>
      <c r="B44" s="11" t="s">
        <v>55</v>
      </c>
      <c r="C44" s="11"/>
      <c r="D44" s="11"/>
      <c r="E44" s="11"/>
      <c r="F44" s="90">
        <f>INDEX(Lookup!$C$20:$Z$20,1,MATCH($J$6,Lookup!$C$1:$Z$1,0))</f>
        <v>2E-3</v>
      </c>
      <c r="G44" s="12" t="s">
        <v>66</v>
      </c>
      <c r="H44" s="47">
        <f>H17</f>
        <v>261944.01891174557</v>
      </c>
      <c r="I44" s="12" t="str">
        <f>I17</f>
        <v>MWh</v>
      </c>
      <c r="J44" s="58">
        <f>F44*H44</f>
        <v>523.88803782349112</v>
      </c>
      <c r="L44" s="119">
        <f>INDEX(Lookup!$C$20:$Z$20,1,MATCH($J$6,Lookup!$C$1:$Z$1,0))</f>
        <v>2E-3</v>
      </c>
      <c r="M44" s="12" t="s">
        <v>66</v>
      </c>
      <c r="N44" s="47">
        <f>N17</f>
        <v>261944.01891174557</v>
      </c>
      <c r="O44" s="12" t="str">
        <f>O17</f>
        <v>MWh</v>
      </c>
      <c r="P44" s="58">
        <f>L44*N44</f>
        <v>523.88803782349112</v>
      </c>
    </row>
    <row r="45" spans="1:16" x14ac:dyDescent="0.2">
      <c r="A45" s="5" t="s">
        <v>101</v>
      </c>
      <c r="C45" s="5"/>
      <c r="D45" s="5"/>
      <c r="E45" s="5"/>
      <c r="F45" s="5"/>
      <c r="G45" s="5"/>
      <c r="H45" s="42"/>
      <c r="I45" s="5"/>
      <c r="J45" s="9"/>
      <c r="L45" s="117"/>
      <c r="M45" s="5"/>
      <c r="N45" s="42"/>
      <c r="O45" s="5"/>
      <c r="P45" s="9"/>
    </row>
    <row r="46" spans="1:16" x14ac:dyDescent="0.2">
      <c r="A46" s="74" t="s">
        <v>102</v>
      </c>
      <c r="B46" s="11" t="s">
        <v>55</v>
      </c>
      <c r="C46" s="11"/>
      <c r="D46" s="11"/>
      <c r="E46" s="11"/>
      <c r="F46" s="87">
        <f>INDEX(Lookup!$C$21:$Z$21,1,MATCH($J$6,Lookup!$C$1:$Z$1,0))</f>
        <v>0.06</v>
      </c>
      <c r="G46" s="12" t="s">
        <v>66</v>
      </c>
      <c r="H46" s="47">
        <f>H17</f>
        <v>261944.01891174557</v>
      </c>
      <c r="I46" s="12" t="str">
        <f>I17</f>
        <v>MWh</v>
      </c>
      <c r="J46" s="58">
        <f>F46*H46</f>
        <v>15716.641134704734</v>
      </c>
      <c r="L46" s="120">
        <f>INDEX(Lookup!$C$21:$Z$21,1,MATCH($J$6,Lookup!$C$1:$Z$1,0))</f>
        <v>0.06</v>
      </c>
      <c r="M46" s="12" t="s">
        <v>66</v>
      </c>
      <c r="N46" s="47">
        <f>N17</f>
        <v>261944.01891174557</v>
      </c>
      <c r="O46" s="12" t="str">
        <f>O17</f>
        <v>MWh</v>
      </c>
      <c r="P46" s="58">
        <f>L46*N46</f>
        <v>15716.641134704734</v>
      </c>
    </row>
    <row r="47" spans="1:16" x14ac:dyDescent="0.2">
      <c r="A47" s="5" t="s">
        <v>103</v>
      </c>
      <c r="B47" s="5"/>
      <c r="C47" s="5"/>
      <c r="D47" s="5"/>
      <c r="E47" s="5"/>
      <c r="F47" s="5"/>
      <c r="G47" s="5"/>
      <c r="H47" s="42"/>
      <c r="I47" s="5"/>
      <c r="J47" s="9"/>
      <c r="L47" s="117"/>
      <c r="M47" s="5"/>
      <c r="N47" s="42"/>
      <c r="O47" s="5"/>
      <c r="P47" s="9"/>
    </row>
    <row r="48" spans="1:16" x14ac:dyDescent="0.2">
      <c r="A48" s="75" t="s">
        <v>104</v>
      </c>
      <c r="B48" s="13" t="s">
        <v>48</v>
      </c>
      <c r="C48" s="13"/>
      <c r="D48" s="13"/>
      <c r="E48" s="13"/>
      <c r="F48" s="91">
        <f>INDEX(Lookup!$C$22:$Z$22,1,MATCH($J$6,Lookup!$C$1:$Z$1,0))</f>
        <v>38</v>
      </c>
      <c r="G48" s="14" t="s">
        <v>78</v>
      </c>
      <c r="H48" s="48">
        <f>H14</f>
        <v>396.88662141475822</v>
      </c>
      <c r="I48" s="14" t="str">
        <f>I14</f>
        <v>MW</v>
      </c>
      <c r="J48" s="59">
        <f t="shared" ref="J48:J49" si="3">F48*H48</f>
        <v>15081.691613760813</v>
      </c>
      <c r="L48" s="121">
        <f>INDEX(Lookup!$C$22:$Z$22,1,MATCH($J$6,Lookup!$C$1:$Z$1,0))</f>
        <v>38</v>
      </c>
      <c r="M48" s="14" t="s">
        <v>78</v>
      </c>
      <c r="N48" s="48">
        <f>N14</f>
        <v>396.88662141475822</v>
      </c>
      <c r="O48" s="14" t="str">
        <f>O14</f>
        <v>MW</v>
      </c>
      <c r="P48" s="59">
        <f t="shared" ref="P48:P49" si="4">L48*N48</f>
        <v>15081.691613760813</v>
      </c>
    </row>
    <row r="49" spans="1:16" x14ac:dyDescent="0.2">
      <c r="A49" s="76" t="s">
        <v>105</v>
      </c>
      <c r="B49" s="19" t="s">
        <v>62</v>
      </c>
      <c r="C49" s="19"/>
      <c r="D49" s="19"/>
      <c r="E49" s="19"/>
      <c r="F49" s="89">
        <f>INDEX(Lookup!$C$24:$Z$24,1,MATCH($J$6,Lookup!$C$1:$Z$1,0))</f>
        <v>400</v>
      </c>
      <c r="G49" s="20" t="s">
        <v>106</v>
      </c>
      <c r="H49" s="46">
        <f>H20</f>
        <v>0</v>
      </c>
      <c r="I49" s="20" t="str">
        <f>I20</f>
        <v>MVA</v>
      </c>
      <c r="J49" s="57">
        <f t="shared" si="3"/>
        <v>0</v>
      </c>
      <c r="L49" s="116">
        <f>INDEX(Lookup!$C$24:$Z$24,1,MATCH($J$6,Lookup!$C$1:$Z$1,0))</f>
        <v>400</v>
      </c>
      <c r="M49" s="20" t="s">
        <v>106</v>
      </c>
      <c r="N49" s="46">
        <f>N20</f>
        <v>0</v>
      </c>
      <c r="O49" s="20" t="str">
        <f>O20</f>
        <v>MVA</v>
      </c>
      <c r="P49" s="57">
        <f t="shared" si="4"/>
        <v>0</v>
      </c>
    </row>
    <row r="50" spans="1:16" x14ac:dyDescent="0.2">
      <c r="A50" s="22" t="s">
        <v>107</v>
      </c>
      <c r="B50" s="23"/>
      <c r="C50" s="23"/>
      <c r="D50" s="23"/>
      <c r="E50" s="23"/>
      <c r="F50" s="24"/>
      <c r="G50" s="25"/>
      <c r="H50" s="49"/>
      <c r="I50" s="25"/>
      <c r="J50" s="60">
        <f>SUM(J39:J49)</f>
        <v>6965784.7330352273</v>
      </c>
      <c r="L50" s="22" t="s">
        <v>107</v>
      </c>
      <c r="M50" s="25"/>
      <c r="N50" s="49"/>
      <c r="O50" s="25"/>
      <c r="P50" s="60">
        <f>SUM(P39:P49)</f>
        <v>7480936.7329566134</v>
      </c>
    </row>
    <row r="51" spans="1:16" ht="9" customHeight="1" x14ac:dyDescent="0.2">
      <c r="J51" s="7"/>
      <c r="P51" s="7"/>
    </row>
    <row r="52" spans="1:16" x14ac:dyDescent="0.2">
      <c r="A52" s="28" t="s">
        <v>108</v>
      </c>
      <c r="B52" s="29"/>
      <c r="C52" s="29"/>
      <c r="D52" s="29"/>
      <c r="E52" s="29"/>
      <c r="F52" s="30"/>
      <c r="G52" s="29"/>
      <c r="H52" s="43"/>
      <c r="I52" s="29"/>
      <c r="J52" s="53"/>
      <c r="L52" s="115"/>
      <c r="M52" s="32"/>
      <c r="N52" s="45"/>
      <c r="O52" s="32"/>
      <c r="P52" s="56"/>
    </row>
    <row r="53" spans="1:16" x14ac:dyDescent="0.2">
      <c r="A53" s="15"/>
      <c r="B53" t="s">
        <v>85</v>
      </c>
      <c r="F53" s="194">
        <f>INDEX(Lookup!$C$13:$Z$13,1,MATCH($J$6,Lookup!$C$1:$Z$1,0))</f>
        <v>-8910</v>
      </c>
      <c r="G53" s="16" t="s">
        <v>86</v>
      </c>
      <c r="H53" s="39">
        <f>H12</f>
        <v>1</v>
      </c>
      <c r="J53" s="54">
        <f>IF(H$13="No",0,F53*H53)*12</f>
        <v>0</v>
      </c>
      <c r="L53" s="195">
        <f>INDEX(Lookup!$C$13:$Z$13,1,MATCH($P$6,Lookup!$C$1:$Z$1,0))</f>
        <v>-8910</v>
      </c>
      <c r="M53" s="16" t="s">
        <v>86</v>
      </c>
      <c r="N53" s="39">
        <f>N12</f>
        <v>1</v>
      </c>
      <c r="P53" s="54">
        <f>IF($N$13="No",0,L53*N53*12)</f>
        <v>0</v>
      </c>
    </row>
    <row r="54" spans="1:16" x14ac:dyDescent="0.2">
      <c r="A54" s="15"/>
      <c r="B54" t="s">
        <v>88</v>
      </c>
      <c r="F54" s="194">
        <f>INDEX(Lookup!$C$14:$Z$14,1,MATCH($J$6,Lookup!$C$1:$Z$1,0))</f>
        <v>-3607</v>
      </c>
      <c r="G54" s="16" t="s">
        <v>78</v>
      </c>
      <c r="H54" s="37">
        <f>H35</f>
        <v>7.5</v>
      </c>
      <c r="I54" s="16" t="str">
        <f>I32</f>
        <v>MWh</v>
      </c>
      <c r="J54" s="54">
        <f t="shared" ref="J54:J57" si="5">IF(H$13="No",0,F54*H54)*12</f>
        <v>0</v>
      </c>
      <c r="L54" s="195">
        <f>INDEX(Lookup!$C$14:$Z$14,1,MATCH($P$6,Lookup!$C$1:$Z$1,0))</f>
        <v>-3607</v>
      </c>
      <c r="M54" s="16" t="s">
        <v>78</v>
      </c>
      <c r="N54" s="37">
        <f>N35</f>
        <v>7.5</v>
      </c>
      <c r="O54" s="16" t="str">
        <f>O32</f>
        <v>MWh</v>
      </c>
      <c r="P54" s="54">
        <f t="shared" ref="P54:P57" si="6">IF($N$13="No",0,L54*N54*12)</f>
        <v>0</v>
      </c>
    </row>
    <row r="55" spans="1:16" x14ac:dyDescent="0.2">
      <c r="A55" s="15"/>
      <c r="B55" t="s">
        <v>90</v>
      </c>
      <c r="F55" s="194">
        <f>INDEX(Lookup!$C$15:$Z$15,1,MATCH($J$6,Lookup!$C$1:$Z$1,0))</f>
        <v>-2259</v>
      </c>
      <c r="G55" s="16" t="s">
        <v>78</v>
      </c>
      <c r="H55" s="37">
        <f>H36</f>
        <v>9.5</v>
      </c>
      <c r="I55" s="16" t="str">
        <f>I32</f>
        <v>MWh</v>
      </c>
      <c r="J55" s="54">
        <f t="shared" si="5"/>
        <v>0</v>
      </c>
      <c r="L55" s="195">
        <f>INDEX(Lookup!$C$15:$Z$15,1,MATCH($P$6,Lookup!$C$1:$Z$1,0))</f>
        <v>-2259</v>
      </c>
      <c r="M55" s="16" t="s">
        <v>78</v>
      </c>
      <c r="N55" s="37">
        <f>N36</f>
        <v>9.5</v>
      </c>
      <c r="O55" s="16" t="str">
        <f>O32</f>
        <v>MWh</v>
      </c>
      <c r="P55" s="54">
        <f t="shared" si="6"/>
        <v>0</v>
      </c>
    </row>
    <row r="56" spans="1:16" x14ac:dyDescent="0.2">
      <c r="A56" s="15"/>
      <c r="B56" t="s">
        <v>92</v>
      </c>
      <c r="F56" s="194">
        <f>INDEX(Lookup!$C$16:$Z$16,1,MATCH($J$6,Lookup!$C$1:$Z$1,0))</f>
        <v>-1576</v>
      </c>
      <c r="G56" s="16" t="s">
        <v>78</v>
      </c>
      <c r="H56" s="37">
        <f>H37</f>
        <v>22.060000000000002</v>
      </c>
      <c r="I56" s="16" t="str">
        <f>I32</f>
        <v>MWh</v>
      </c>
      <c r="J56" s="54">
        <f t="shared" si="5"/>
        <v>0</v>
      </c>
      <c r="L56" s="195">
        <f>INDEX(Lookup!$C$16:$Z$16,1,MATCH($P$6,Lookup!$C$1:$Z$1,0))</f>
        <v>-1576</v>
      </c>
      <c r="M56" s="16" t="s">
        <v>78</v>
      </c>
      <c r="N56" s="37">
        <f>N37</f>
        <v>22.060000000000002</v>
      </c>
      <c r="O56" s="16" t="str">
        <f>O32</f>
        <v>MWh</v>
      </c>
      <c r="P56" s="54">
        <f t="shared" si="6"/>
        <v>0</v>
      </c>
    </row>
    <row r="57" spans="1:16" x14ac:dyDescent="0.2">
      <c r="A57" s="21"/>
      <c r="B57" s="19" t="s">
        <v>94</v>
      </c>
      <c r="C57" s="19"/>
      <c r="D57" s="19"/>
      <c r="E57" s="19"/>
      <c r="F57" s="194">
        <f>INDEX(Lookup!$C$17:$Z$17,1,MATCH($J$6,Lookup!$C$1:$Z$1,0))</f>
        <v>-1292</v>
      </c>
      <c r="G57" s="20" t="s">
        <v>78</v>
      </c>
      <c r="H57" s="46">
        <f>H38</f>
        <v>0</v>
      </c>
      <c r="I57" s="20" t="str">
        <f>I32</f>
        <v>MWh</v>
      </c>
      <c r="J57" s="57">
        <f t="shared" si="5"/>
        <v>0</v>
      </c>
      <c r="L57" s="196">
        <f>INDEX(Lookup!$C$17:$Z$17,1,MATCH($P$6,Lookup!$C$1:$Z$1,0))</f>
        <v>-1292</v>
      </c>
      <c r="M57" s="20" t="s">
        <v>78</v>
      </c>
      <c r="N57" s="46">
        <f>N38</f>
        <v>0</v>
      </c>
      <c r="O57" s="20" t="str">
        <f>O32</f>
        <v>MWh</v>
      </c>
      <c r="P57" s="57">
        <f t="shared" si="6"/>
        <v>0</v>
      </c>
    </row>
    <row r="58" spans="1:16" x14ac:dyDescent="0.2">
      <c r="A58" s="22" t="s">
        <v>109</v>
      </c>
      <c r="B58" s="23"/>
      <c r="C58" s="23"/>
      <c r="D58" s="23"/>
      <c r="E58" s="23"/>
      <c r="F58" s="24"/>
      <c r="G58" s="25"/>
      <c r="H58" s="49"/>
      <c r="I58" s="25"/>
      <c r="J58" s="60">
        <f>SUM(J53:J57)</f>
        <v>0</v>
      </c>
      <c r="L58" s="22" t="s">
        <v>109</v>
      </c>
      <c r="M58" s="25"/>
      <c r="N58" s="49"/>
      <c r="O58" s="25"/>
      <c r="P58" s="60">
        <f>SUM(P53:P57)</f>
        <v>0</v>
      </c>
    </row>
    <row r="59" spans="1:16" ht="9" customHeight="1" x14ac:dyDescent="0.2">
      <c r="J59" s="7"/>
      <c r="P59" s="7"/>
    </row>
    <row r="60" spans="1:16" x14ac:dyDescent="0.2">
      <c r="A60" s="22" t="s">
        <v>110</v>
      </c>
      <c r="B60" s="23"/>
      <c r="C60" s="23"/>
      <c r="D60" s="23"/>
      <c r="E60" s="23"/>
      <c r="F60" s="24"/>
      <c r="G60" s="25"/>
      <c r="H60" s="49"/>
      <c r="I60" s="25"/>
      <c r="J60" s="60">
        <f>SUM(J50,J58)</f>
        <v>6965784.7330352273</v>
      </c>
      <c r="L60" s="221" t="s">
        <v>110</v>
      </c>
      <c r="M60" s="222"/>
      <c r="N60" s="223"/>
      <c r="O60" s="222"/>
      <c r="P60" s="224">
        <f>SUM(P50,P58)</f>
        <v>7480936.7329566134</v>
      </c>
    </row>
    <row r="61" spans="1:16" ht="12.75" customHeight="1" x14ac:dyDescent="0.2">
      <c r="J61" s="7"/>
      <c r="L61" s="225" t="s">
        <v>111</v>
      </c>
      <c r="M61" s="226"/>
      <c r="N61" s="226"/>
      <c r="O61" s="226"/>
      <c r="P61" s="227">
        <f>P60/J60-1</f>
        <v>7.3954625309949451E-2</v>
      </c>
    </row>
    <row r="62" spans="1:16" ht="9" customHeight="1" x14ac:dyDescent="0.2">
      <c r="J62" s="7"/>
      <c r="P62" s="7"/>
    </row>
    <row r="63" spans="1:16" x14ac:dyDescent="0.2">
      <c r="A63" s="22" t="s">
        <v>112</v>
      </c>
      <c r="B63" s="23"/>
      <c r="C63" s="23"/>
      <c r="D63" s="23"/>
      <c r="E63" s="23"/>
      <c r="F63" s="27"/>
      <c r="G63" s="25"/>
      <c r="H63" s="26"/>
      <c r="I63" s="25"/>
      <c r="J63" s="60">
        <f>INDEX('Site Data Input'!$M$2:$M$6,MATCH($P$7,'Site Data Input'!$A$2:$A$6),1)</f>
        <v>5762209.6623409661</v>
      </c>
      <c r="L63" s="214" t="s">
        <v>112</v>
      </c>
      <c r="M63" s="215"/>
      <c r="N63" s="216">
        <f>N17</f>
        <v>261944.01891174557</v>
      </c>
      <c r="O63" s="217" t="s">
        <v>56</v>
      </c>
      <c r="P63" s="218">
        <f>N63*$N$21</f>
        <v>5762209.6623409661</v>
      </c>
    </row>
    <row r="64" spans="1:16" ht="9" customHeight="1" x14ac:dyDescent="0.2">
      <c r="J64" s="7"/>
      <c r="P64" s="7"/>
    </row>
    <row r="65" spans="1:16" x14ac:dyDescent="0.2">
      <c r="A65" s="5" t="s">
        <v>113</v>
      </c>
      <c r="B65" s="5"/>
      <c r="C65" s="5"/>
      <c r="D65" s="5"/>
      <c r="E65" s="5"/>
      <c r="F65" s="5"/>
      <c r="G65" s="5"/>
      <c r="H65" s="5"/>
      <c r="I65" s="5"/>
      <c r="J65" s="61">
        <f>SUM(J60,J63)</f>
        <v>12727994.395376194</v>
      </c>
      <c r="L65" s="5" t="s">
        <v>113</v>
      </c>
      <c r="M65" s="5"/>
      <c r="N65" s="5"/>
      <c r="O65" s="5"/>
      <c r="P65" s="61">
        <f>SUM(P60,P63)</f>
        <v>13243146.395297579</v>
      </c>
    </row>
    <row r="66" spans="1:16" ht="12.75" customHeight="1" x14ac:dyDescent="0.2">
      <c r="J66" s="7"/>
      <c r="L66" s="209" t="s">
        <v>114</v>
      </c>
      <c r="M66" s="210"/>
      <c r="N66" s="210"/>
      <c r="O66" s="210"/>
      <c r="P66" s="211">
        <f>P65/J65-1</f>
        <v>4.0473933592281242E-2</v>
      </c>
    </row>
  </sheetData>
  <mergeCells count="12">
    <mergeCell ref="N11:O11"/>
    <mergeCell ref="A25:J25"/>
    <mergeCell ref="C1:H1"/>
    <mergeCell ref="C2:H2"/>
    <mergeCell ref="C3:H3"/>
    <mergeCell ref="C4:E4"/>
    <mergeCell ref="H11:I11"/>
    <mergeCell ref="A24:E24"/>
    <mergeCell ref="F24:G24"/>
    <mergeCell ref="H24:I24"/>
    <mergeCell ref="L24:M24"/>
    <mergeCell ref="N24:O24"/>
  </mergeCells>
  <conditionalFormatting sqref="A52:J52 A53:E57 G53:J57">
    <cfRule type="expression" dxfId="9" priority="5">
      <formula>$H$13="No"</formula>
    </cfRule>
  </conditionalFormatting>
  <conditionalFormatting sqref="L52:P52 M53:P57">
    <cfRule type="expression" dxfId="8" priority="4">
      <formula>$N$13="No"</formula>
    </cfRule>
  </conditionalFormatting>
  <conditionalFormatting sqref="F53:F57">
    <cfRule type="expression" dxfId="7" priority="3">
      <formula>$H$13="No"</formula>
    </cfRule>
  </conditionalFormatting>
  <conditionalFormatting sqref="L53">
    <cfRule type="expression" dxfId="6" priority="2">
      <formula>$H$13="No"</formula>
    </cfRule>
  </conditionalFormatting>
  <conditionalFormatting sqref="L54:L57">
    <cfRule type="expression" dxfId="5" priority="1">
      <formula>$H$13="No"</formula>
    </cfRule>
  </conditionalFormatting>
  <dataValidations count="6">
    <dataValidation allowBlank="1" showErrorMessage="1" promptTitle="Reference" prompt="For more information, see the definition of metered demand in the Consolidated Authoritative Documents Glossary." sqref="M20:M22 M12:M14 G12:G22" xr:uid="{50F1A716-2203-4426-9818-A27FD54537B9}"/>
    <dataValidation allowBlank="1" showInputMessage="1" showErrorMessage="1" promptTitle="Reference" prompt="For more information, see the definition of billing capacity in the Consolidated Authoritative Documents Glossary." sqref="M20 G17" xr:uid="{78C24443-DB19-4C1E-BB5C-1C3309B356E8}"/>
    <dataValidation allowBlank="1" showInputMessage="1" sqref="C4:F4 C1:H3 L9 P7 N6:N8 O6:P6" xr:uid="{B63B1963-76E3-4C08-9686-AB94F9D54D47}"/>
    <dataValidation allowBlank="1" showErrorMessage="1" sqref="H13" xr:uid="{E4401CBC-4ECC-4E56-B602-5EEF2A07A632}"/>
    <dataValidation allowBlank="1" showInputMessage="1" showErrorMessage="1" promptTitle="Reference" prompt="For more information, see subsection 4(2) of Rate DTS: Demand Transmission Service in the ISO tariff." sqref="G19" xr:uid="{80F435EB-C1BD-49BA-BFCE-AEB3A1078AA4}"/>
    <dataValidation allowBlank="1" showInputMessage="1" showErrorMessage="1" promptTitle="Reference" prompt="For more information, see subsection 7(b) of Rate DTS: Demand Transmission Service in the ISO tariff." sqref="G20" xr:uid="{2D0E1240-F479-4AAE-9F49-D3D08B3035E7}"/>
  </dataValidations>
  <printOptions horizontalCentered="1"/>
  <pageMargins left="0.25" right="0.25" top="0.5" bottom="0.5" header="0.3" footer="0.3"/>
  <pageSetup scale="93" orientation="portrait" r:id="rId1"/>
  <headerFooter alignWithMargins="0">
    <oddFooter>&amp;L&amp;8Attachment to Bill Estimator for 2021 Tariff (AESO ID #2021-015T)
Filename: &amp;F — Page&amp;P of &amp;N&amp;R&amp;8Confidentiality: Proprietary When Completed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7059A-31A4-4E00-9182-1B84FB00BA4A}">
  <sheetPr>
    <pageSetUpPr fitToPage="1"/>
  </sheetPr>
  <dimension ref="A1:P66"/>
  <sheetViews>
    <sheetView showGridLines="0" zoomScale="85" zoomScaleNormal="85" workbookViewId="0">
      <selection activeCell="H22" sqref="H22"/>
    </sheetView>
  </sheetViews>
  <sheetFormatPr defaultColWidth="9.5703125" defaultRowHeight="12.75" x14ac:dyDescent="0.2"/>
  <cols>
    <col min="1" max="1" width="7.42578125" customWidth="1"/>
    <col min="2" max="2" width="8.42578125" customWidth="1"/>
    <col min="3" max="3" width="26.5703125" customWidth="1"/>
    <col min="4" max="4" width="8.5703125" customWidth="1"/>
    <col min="5" max="6" width="10.5703125" customWidth="1"/>
    <col min="7" max="7" width="15.7109375" customWidth="1"/>
    <col min="8" max="9" width="10.42578125" customWidth="1"/>
    <col min="10" max="10" width="15.7109375" customWidth="1"/>
    <col min="12" max="12" width="10.5703125" customWidth="1"/>
    <col min="13" max="13" width="15.28515625" customWidth="1"/>
    <col min="14" max="15" width="10.42578125" customWidth="1"/>
    <col min="16" max="16" width="15.140625" customWidth="1"/>
  </cols>
  <sheetData>
    <row r="1" spans="1:16" ht="18.75" x14ac:dyDescent="0.4">
      <c r="A1" s="41" t="s">
        <v>20</v>
      </c>
      <c r="C1" s="266" t="str">
        <f>ParticipantName</f>
        <v>DFO</v>
      </c>
      <c r="D1" s="266"/>
      <c r="E1" s="266"/>
      <c r="F1" s="266"/>
      <c r="G1" s="266"/>
      <c r="H1" s="266"/>
      <c r="L1" s="160" t="s">
        <v>148</v>
      </c>
      <c r="M1" s="160"/>
      <c r="N1" s="160"/>
      <c r="O1" s="160"/>
      <c r="P1" s="146">
        <f>$P$61</f>
        <v>5.7324314526108866E-2</v>
      </c>
    </row>
    <row r="2" spans="1:16" x14ac:dyDescent="0.2">
      <c r="A2" s="41" t="s">
        <v>21</v>
      </c>
      <c r="C2" s="109" t="str">
        <f>SiteDescription</f>
        <v>Sample Site</v>
      </c>
      <c r="D2" s="109"/>
      <c r="E2" s="109"/>
      <c r="F2" s="109"/>
      <c r="G2" s="109"/>
      <c r="H2" s="109"/>
    </row>
    <row r="3" spans="1:16" x14ac:dyDescent="0.2">
      <c r="A3" t="s">
        <v>34</v>
      </c>
      <c r="C3" s="266" t="str">
        <f>AccountID</f>
        <v>1000XXXXX</v>
      </c>
      <c r="D3" s="266"/>
      <c r="E3" s="266"/>
      <c r="F3" s="266"/>
      <c r="G3" s="266"/>
      <c r="H3" s="266"/>
    </row>
    <row r="4" spans="1:16" x14ac:dyDescent="0.2">
      <c r="A4" t="s">
        <v>23</v>
      </c>
      <c r="C4" s="269">
        <f ca="1">TODAY()</f>
        <v>44292</v>
      </c>
      <c r="D4" s="269"/>
      <c r="E4" s="269"/>
      <c r="F4" s="41"/>
      <c r="G4" s="34"/>
      <c r="H4" s="35"/>
    </row>
    <row r="5" spans="1:16" s="4" customFormat="1" ht="7.15" customHeight="1" x14ac:dyDescent="0.15"/>
    <row r="6" spans="1:16" x14ac:dyDescent="0.2">
      <c r="C6" s="41"/>
      <c r="I6" s="36" t="s">
        <v>35</v>
      </c>
      <c r="J6" s="106" t="s">
        <v>36</v>
      </c>
      <c r="O6" s="36" t="s">
        <v>35</v>
      </c>
      <c r="P6" s="106" t="s">
        <v>37</v>
      </c>
    </row>
    <row r="7" spans="1:16" ht="15.75" x14ac:dyDescent="0.25">
      <c r="I7" s="142"/>
      <c r="O7" s="142" t="s">
        <v>38</v>
      </c>
      <c r="P7" s="108">
        <v>2016</v>
      </c>
    </row>
    <row r="9" spans="1:16" x14ac:dyDescent="0.2">
      <c r="I9" s="36"/>
      <c r="J9" s="107"/>
      <c r="L9" s="41"/>
      <c r="M9" s="34"/>
      <c r="N9" s="35"/>
      <c r="O9" s="36"/>
      <c r="P9" s="107"/>
    </row>
    <row r="10" spans="1:16" x14ac:dyDescent="0.2">
      <c r="J10" s="8"/>
      <c r="M10" s="41"/>
      <c r="P10" s="8"/>
    </row>
    <row r="11" spans="1:16" x14ac:dyDescent="0.2">
      <c r="B11" s="6" t="s">
        <v>39</v>
      </c>
      <c r="C11" s="6"/>
      <c r="D11" s="6"/>
      <c r="E11" s="6"/>
      <c r="F11" s="6" t="s">
        <v>40</v>
      </c>
      <c r="G11" s="6" t="s">
        <v>41</v>
      </c>
      <c r="H11" s="262" t="s">
        <v>146</v>
      </c>
      <c r="I11" s="262"/>
      <c r="K11" s="6"/>
      <c r="L11" s="6"/>
      <c r="M11" s="6"/>
      <c r="N11" s="262" t="s">
        <v>146</v>
      </c>
      <c r="O11" s="262"/>
    </row>
    <row r="12" spans="1:16" x14ac:dyDescent="0.2">
      <c r="B12" s="112" t="s">
        <v>43</v>
      </c>
      <c r="C12" t="s">
        <v>44</v>
      </c>
      <c r="G12" s="8"/>
      <c r="H12" s="39">
        <f>INDEX('Site Data Input'!$E$2:$E$6,MATCH($P$7,'Site Data Input'!$A$2:$A$6),1)</f>
        <v>1</v>
      </c>
      <c r="L12" s="6"/>
      <c r="M12" s="6"/>
      <c r="N12" s="39">
        <f t="shared" ref="N12:N22" si="0">H12</f>
        <v>1</v>
      </c>
    </row>
    <row r="13" spans="1:16" x14ac:dyDescent="0.2">
      <c r="B13" s="112" t="s">
        <v>45</v>
      </c>
      <c r="C13" s="41" t="s">
        <v>46</v>
      </c>
      <c r="G13" s="8"/>
      <c r="H13" s="125" t="str">
        <f>INDEX('Site Data Input'!$F$2:$F$6,MATCH($P$7,'Site Data Input'!$A$2:$A$6),1)</f>
        <v>No</v>
      </c>
      <c r="L13" s="6"/>
      <c r="M13" s="6"/>
      <c r="N13" s="39" t="str">
        <f t="shared" si="0"/>
        <v>No</v>
      </c>
    </row>
    <row r="14" spans="1:16" x14ac:dyDescent="0.2">
      <c r="B14" s="112" t="s">
        <v>47</v>
      </c>
      <c r="C14" t="s">
        <v>48</v>
      </c>
      <c r="G14" s="37">
        <f>INDEX('Site Data Input'!$L$2:$L$6,MATCH($P$7,'Site Data Input'!$A$2:$A$6),1)/12</f>
        <v>29.838111060220523</v>
      </c>
      <c r="H14" s="37">
        <f>G14*12</f>
        <v>358.05733272264627</v>
      </c>
      <c r="I14" s="41" t="s">
        <v>49</v>
      </c>
      <c r="L14" s="6"/>
      <c r="M14" s="6"/>
      <c r="N14" s="37">
        <f t="shared" si="0"/>
        <v>358.05733272264627</v>
      </c>
      <c r="O14" s="41" t="s">
        <v>49</v>
      </c>
    </row>
    <row r="15" spans="1:16" x14ac:dyDescent="0.2">
      <c r="B15" s="112" t="s">
        <v>50</v>
      </c>
      <c r="C15" t="s">
        <v>77</v>
      </c>
      <c r="F15" s="123">
        <f>H15/H14</f>
        <v>0.83700134878878585</v>
      </c>
      <c r="G15" s="37">
        <f>INDEX('Site Data Input'!$I$2:$I$6,MATCH($P$7,'Site Data Input'!$A$2:$A$6),1)/12</f>
        <v>24.974539202714165</v>
      </c>
      <c r="H15" s="37">
        <f>G15*12</f>
        <v>299.69447043256997</v>
      </c>
      <c r="I15" s="41" t="s">
        <v>49</v>
      </c>
      <c r="L15" s="6"/>
      <c r="M15" s="6"/>
      <c r="N15" s="144">
        <f t="shared" si="0"/>
        <v>299.69447043256997</v>
      </c>
      <c r="O15" s="145" t="s">
        <v>49</v>
      </c>
    </row>
    <row r="16" spans="1:16" x14ac:dyDescent="0.2">
      <c r="B16" s="112" t="s">
        <v>54</v>
      </c>
      <c r="C16" s="41" t="s">
        <v>53</v>
      </c>
      <c r="G16" s="122">
        <f>INDEX('Site Data Input'!$G$2:$G$6,MATCH($P$7,'Site Data Input'!$A$2:$A$6),1)</f>
        <v>43.4</v>
      </c>
      <c r="H16" s="124">
        <f>G16</f>
        <v>43.4</v>
      </c>
      <c r="I16" s="41" t="s">
        <v>49</v>
      </c>
      <c r="L16" s="6"/>
      <c r="M16" s="6"/>
      <c r="N16" s="37">
        <f t="shared" si="0"/>
        <v>43.4</v>
      </c>
      <c r="O16" s="41" t="s">
        <v>49</v>
      </c>
    </row>
    <row r="17" spans="1:16" x14ac:dyDescent="0.2">
      <c r="B17" s="112" t="s">
        <v>57</v>
      </c>
      <c r="C17" t="s">
        <v>55</v>
      </c>
      <c r="F17" s="123">
        <f>H17/(G14*VLOOKUP($P$7,Year_hours,2,FALSE))</f>
        <v>0.9043365478895059</v>
      </c>
      <c r="G17" s="38">
        <f>H17/12</f>
        <v>19752.064265476252</v>
      </c>
      <c r="H17" s="38">
        <f>INDEX('Site Data Input'!$H$2:$H$6,MATCH($P$7,'Site Data Input'!$A$2:$A$6),1)</f>
        <v>237024.77118571504</v>
      </c>
      <c r="I17" s="41" t="s">
        <v>56</v>
      </c>
      <c r="L17" s="6"/>
      <c r="M17" s="6"/>
      <c r="N17" s="38">
        <f t="shared" si="0"/>
        <v>237024.77118571504</v>
      </c>
      <c r="O17" s="41" t="s">
        <v>56</v>
      </c>
    </row>
    <row r="18" spans="1:16" x14ac:dyDescent="0.2">
      <c r="B18" s="112" t="s">
        <v>59</v>
      </c>
      <c r="C18" t="s">
        <v>58</v>
      </c>
      <c r="G18" s="37">
        <f>H18/12</f>
        <v>39.06</v>
      </c>
      <c r="H18" s="37">
        <f>MAX(G14,G16*90%)*12</f>
        <v>468.72</v>
      </c>
      <c r="I18" s="41" t="s">
        <v>49</v>
      </c>
      <c r="L18" s="6"/>
      <c r="M18" s="158"/>
      <c r="N18" s="37">
        <f t="shared" si="0"/>
        <v>468.72</v>
      </c>
      <c r="O18" s="41" t="s">
        <v>49</v>
      </c>
    </row>
    <row r="19" spans="1:16" x14ac:dyDescent="0.2">
      <c r="B19" s="112" t="s">
        <v>61</v>
      </c>
      <c r="C19" t="s">
        <v>60</v>
      </c>
      <c r="G19" s="8"/>
      <c r="H19" s="151">
        <f>INDEX('Site Data Input'!$N$2:$N$6,MATCH($P$7,'Site Data Input'!$A$2:$A$6),1)/(INDEX('Site Data Input'!$H$2:$H$6,MATCH($P$7,'Site Data Input'!$A$2:$A$6),1)*$H$22)</f>
        <v>9.621469183665253E-2</v>
      </c>
      <c r="I19" s="16"/>
      <c r="L19" s="6"/>
      <c r="M19" s="6"/>
      <c r="N19" s="94">
        <f t="shared" si="0"/>
        <v>9.621469183665253E-2</v>
      </c>
      <c r="O19" s="16"/>
    </row>
    <row r="20" spans="1:16" x14ac:dyDescent="0.2">
      <c r="B20" s="112" t="s">
        <v>147</v>
      </c>
      <c r="C20" s="41" t="s">
        <v>153</v>
      </c>
      <c r="G20" s="92"/>
      <c r="H20" s="37">
        <f>INDEX('Site Data Input'!$R$2:$R$6,MATCH($P$7,'Site Data Input'!$A$2:$A$6),1)/INDEX(Lookup!$C$24:$Z$24,1,MATCH($J$6,Lookup!$C$1:$Z$1,0))</f>
        <v>0</v>
      </c>
      <c r="I20" s="41" t="s">
        <v>63</v>
      </c>
      <c r="M20" s="92"/>
      <c r="N20" s="37">
        <f t="shared" si="0"/>
        <v>0</v>
      </c>
      <c r="O20" s="41" t="s">
        <v>63</v>
      </c>
    </row>
    <row r="21" spans="1:16" x14ac:dyDescent="0.2">
      <c r="B21" s="112" t="s">
        <v>64</v>
      </c>
      <c r="C21" s="41" t="s">
        <v>65</v>
      </c>
      <c r="G21" s="8"/>
      <c r="H21" s="93">
        <f>INDEX('Site Data Input'!$M$2:$M$6,MATCH($P$7,'Site Data Input'!$A$2:$A$6),1)/INDEX('Site Data Input'!$H$2:$H$6,MATCH($P$7,'Site Data Input'!$A$2:$A$6),1)</f>
        <v>18.318215223616562</v>
      </c>
      <c r="I21" s="16" t="s">
        <v>66</v>
      </c>
      <c r="M21" s="8"/>
      <c r="N21" s="93">
        <f t="shared" si="0"/>
        <v>18.318215223616562</v>
      </c>
      <c r="O21" s="16" t="s">
        <v>66</v>
      </c>
    </row>
    <row r="22" spans="1:16" x14ac:dyDescent="0.2">
      <c r="B22" s="112" t="s">
        <v>67</v>
      </c>
      <c r="C22" s="41" t="s">
        <v>68</v>
      </c>
      <c r="G22" s="8"/>
      <c r="H22" s="93">
        <f>INDEX(Lookup!$C$18:$Z$18,1,MATCH($P$7,Lookup!$C$1:$Z$1,0))</f>
        <v>18.28</v>
      </c>
      <c r="I22" s="16" t="s">
        <v>66</v>
      </c>
      <c r="M22" s="8"/>
      <c r="N22" s="93">
        <f t="shared" si="0"/>
        <v>18.28</v>
      </c>
      <c r="O22" s="16" t="s">
        <v>66</v>
      </c>
    </row>
    <row r="24" spans="1:16" x14ac:dyDescent="0.2">
      <c r="A24" s="262" t="s">
        <v>69</v>
      </c>
      <c r="B24" s="262"/>
      <c r="C24" s="262"/>
      <c r="D24" s="262"/>
      <c r="E24" s="262"/>
      <c r="F24" s="262" t="s">
        <v>70</v>
      </c>
      <c r="G24" s="262"/>
      <c r="H24" s="262" t="s">
        <v>71</v>
      </c>
      <c r="I24" s="262"/>
      <c r="J24" s="40" t="s">
        <v>72</v>
      </c>
      <c r="L24" s="262" t="s">
        <v>70</v>
      </c>
      <c r="M24" s="262"/>
      <c r="N24" s="262" t="s">
        <v>71</v>
      </c>
      <c r="O24" s="262"/>
      <c r="P24" s="40" t="s">
        <v>72</v>
      </c>
    </row>
    <row r="25" spans="1:16" s="41" customFormat="1" x14ac:dyDescent="0.2">
      <c r="A25" s="263" t="s">
        <v>73</v>
      </c>
      <c r="B25" s="264"/>
      <c r="C25" s="264"/>
      <c r="D25" s="264"/>
      <c r="E25" s="264"/>
      <c r="F25" s="264"/>
      <c r="G25" s="264"/>
      <c r="H25" s="264"/>
      <c r="I25" s="264"/>
      <c r="J25" s="265"/>
      <c r="L25" s="228" t="s">
        <v>73</v>
      </c>
      <c r="M25" s="229"/>
      <c r="N25" s="229"/>
      <c r="O25" s="229"/>
      <c r="P25" s="230"/>
    </row>
    <row r="26" spans="1:16" x14ac:dyDescent="0.2">
      <c r="A26" s="5" t="s">
        <v>74</v>
      </c>
      <c r="C26" s="5"/>
      <c r="D26" s="5"/>
      <c r="E26" s="5"/>
      <c r="F26" s="5"/>
      <c r="G26" s="5"/>
      <c r="H26" s="42"/>
      <c r="I26" s="5"/>
      <c r="J26" s="9"/>
      <c r="L26" s="5"/>
      <c r="M26" s="5"/>
      <c r="N26" s="42"/>
      <c r="O26" s="5"/>
      <c r="P26" s="9"/>
    </row>
    <row r="27" spans="1:16" x14ac:dyDescent="0.2">
      <c r="A27" s="28" t="s">
        <v>75</v>
      </c>
      <c r="B27" s="29"/>
      <c r="C27" s="29"/>
      <c r="D27" s="29"/>
      <c r="E27" s="29"/>
      <c r="F27" s="30"/>
      <c r="G27" s="29"/>
      <c r="H27" s="43"/>
      <c r="I27" s="29"/>
      <c r="J27" s="53"/>
      <c r="L27" s="113"/>
      <c r="M27" s="29"/>
      <c r="N27" s="43"/>
      <c r="O27" s="29"/>
      <c r="P27" s="53"/>
    </row>
    <row r="28" spans="1:16" x14ac:dyDescent="0.2">
      <c r="A28" s="15" t="s">
        <v>76</v>
      </c>
      <c r="B28" t="s">
        <v>77</v>
      </c>
      <c r="F28" s="88">
        <f>INDEX(Lookup!$C$4:$Z$4,1,MATCH($J$6,Lookup!$C$1:$Z$1,0))</f>
        <v>10087</v>
      </c>
      <c r="G28" s="16" t="s">
        <v>78</v>
      </c>
      <c r="H28" s="37">
        <f>H15</f>
        <v>299.69447043256997</v>
      </c>
      <c r="I28" s="16" t="str">
        <f>I15</f>
        <v>MW</v>
      </c>
      <c r="J28" s="54">
        <f>F28*H28</f>
        <v>3023018.1232533334</v>
      </c>
      <c r="L28" s="114">
        <f>INDEX(Lookup!$C$4:$Z$4,1,MATCH($P$6,Lookup!$C$1:$Z$1,0))</f>
        <v>5980</v>
      </c>
      <c r="M28" s="16" t="s">
        <v>78</v>
      </c>
      <c r="N28" s="37">
        <f>N15</f>
        <v>299.69447043256997</v>
      </c>
      <c r="O28" s="16" t="str">
        <f>O15</f>
        <v>MW</v>
      </c>
      <c r="P28" s="54">
        <f>L28*N28</f>
        <v>1792172.9331867683</v>
      </c>
    </row>
    <row r="29" spans="1:16" x14ac:dyDescent="0.2">
      <c r="A29" s="31" t="s">
        <v>79</v>
      </c>
      <c r="B29" s="32"/>
      <c r="C29" s="32"/>
      <c r="D29" s="32"/>
      <c r="E29" s="32"/>
      <c r="F29" s="33"/>
      <c r="G29" s="32"/>
      <c r="H29" s="45"/>
      <c r="I29" s="32"/>
      <c r="J29" s="56"/>
      <c r="L29" s="115"/>
      <c r="M29" s="32"/>
      <c r="N29" s="45"/>
      <c r="O29" s="32"/>
      <c r="P29" s="56"/>
    </row>
    <row r="30" spans="1:16" x14ac:dyDescent="0.2">
      <c r="A30" s="77" t="s">
        <v>80</v>
      </c>
      <c r="B30" t="s">
        <v>58</v>
      </c>
      <c r="F30" s="88">
        <f>INDEX(Lookup!$C$6:$Z$6,1,MATCH($J$6,Lookup!$C$1:$Z$1,0))</f>
        <v>2668</v>
      </c>
      <c r="G30" s="16" t="s">
        <v>78</v>
      </c>
      <c r="H30" s="37">
        <f>H18</f>
        <v>468.72</v>
      </c>
      <c r="I30" s="16" t="str">
        <f>I18</f>
        <v>MW</v>
      </c>
      <c r="J30" s="54">
        <f>F30*H30</f>
        <v>1250544.96</v>
      </c>
      <c r="L30" s="114">
        <f>INDEX(Lookup!$C$6:$Z$6,1,MATCH($P$6,Lookup!$C$1:$Z$1,0))</f>
        <v>2055</v>
      </c>
      <c r="M30" s="16" t="s">
        <v>78</v>
      </c>
      <c r="N30" s="37">
        <f>N18</f>
        <v>468.72</v>
      </c>
      <c r="O30" s="16" t="str">
        <f>O18</f>
        <v>MW</v>
      </c>
      <c r="P30" s="54">
        <f>L30*N30</f>
        <v>963219.60000000009</v>
      </c>
    </row>
    <row r="31" spans="1:16" x14ac:dyDescent="0.2">
      <c r="A31" s="31" t="s">
        <v>81</v>
      </c>
      <c r="B31" s="32"/>
      <c r="C31" s="32"/>
      <c r="D31" s="32"/>
      <c r="E31" s="32"/>
      <c r="F31" s="33"/>
      <c r="G31" s="32"/>
      <c r="H31" s="45"/>
      <c r="I31" s="32"/>
      <c r="J31" s="56"/>
      <c r="L31" s="115"/>
      <c r="M31" s="32"/>
      <c r="N31" s="45"/>
      <c r="O31" s="32"/>
      <c r="P31" s="56"/>
    </row>
    <row r="32" spans="1:16" x14ac:dyDescent="0.2">
      <c r="A32" s="111" t="s">
        <v>82</v>
      </c>
      <c r="B32" s="17" t="s">
        <v>55</v>
      </c>
      <c r="C32" s="17"/>
      <c r="D32" s="17"/>
      <c r="E32" s="17"/>
      <c r="F32" s="88">
        <f>INDEX(Lookup!$C$7:$Z$7,1,MATCH($J$6,Lookup!$C$1:$Z$1,0))</f>
        <v>2.1799999999999997</v>
      </c>
      <c r="G32" s="18" t="s">
        <v>66</v>
      </c>
      <c r="H32" s="44">
        <f>H17</f>
        <v>237024.77118571504</v>
      </c>
      <c r="I32" s="18" t="str">
        <f>I17</f>
        <v>MWh</v>
      </c>
      <c r="J32" s="55">
        <f>F32*H32</f>
        <v>516714.00118485873</v>
      </c>
      <c r="L32" s="114">
        <f>INDEX(Lookup!$C$7:$Z$7,1,MATCH($P$6,Lookup!$C$1:$Z$1,0))</f>
        <v>10.19</v>
      </c>
      <c r="M32" s="18" t="s">
        <v>66</v>
      </c>
      <c r="N32" s="44">
        <f>N17</f>
        <v>237024.77118571504</v>
      </c>
      <c r="O32" s="18" t="str">
        <f>O17</f>
        <v>MWh</v>
      </c>
      <c r="P32" s="55">
        <f>L32*N32</f>
        <v>2415282.418382436</v>
      </c>
    </row>
    <row r="33" spans="1:16" x14ac:dyDescent="0.2">
      <c r="A33" s="31" t="s">
        <v>83</v>
      </c>
      <c r="B33" s="32"/>
      <c r="C33" s="32"/>
      <c r="D33" s="32"/>
      <c r="E33" s="32"/>
      <c r="F33" s="33"/>
      <c r="G33" s="32"/>
      <c r="H33" s="45"/>
      <c r="I33" s="32"/>
      <c r="J33" s="56"/>
      <c r="L33" s="115"/>
      <c r="M33" s="32"/>
      <c r="N33" s="45"/>
      <c r="O33" s="32"/>
      <c r="P33" s="56"/>
    </row>
    <row r="34" spans="1:16" x14ac:dyDescent="0.2">
      <c r="A34" s="15" t="s">
        <v>84</v>
      </c>
      <c r="B34" t="s">
        <v>85</v>
      </c>
      <c r="F34" s="88">
        <f>INDEX(Lookup!$C$8:$Z$8,1,MATCH($J$6,Lookup!$C$1:$Z$1,0))</f>
        <v>11278</v>
      </c>
      <c r="G34" s="16" t="s">
        <v>86</v>
      </c>
      <c r="H34" s="39">
        <f>H12</f>
        <v>1</v>
      </c>
      <c r="J34" s="54">
        <f>F34*H34*12</f>
        <v>135336</v>
      </c>
      <c r="L34" s="114">
        <f>INDEX(Lookup!$C$8:$Z$8,1,MATCH($J$6,Lookup!$C$1:$Z$1,0))</f>
        <v>11278</v>
      </c>
      <c r="M34" s="16" t="s">
        <v>86</v>
      </c>
      <c r="N34" s="39">
        <f>N12</f>
        <v>1</v>
      </c>
      <c r="P34" s="54">
        <f>L34*N34*12</f>
        <v>135336</v>
      </c>
    </row>
    <row r="35" spans="1:16" x14ac:dyDescent="0.2">
      <c r="A35" s="15" t="s">
        <v>87</v>
      </c>
      <c r="B35" t="s">
        <v>88</v>
      </c>
      <c r="F35" s="88">
        <f>INDEX(Lookup!$C$9:$Z$9,1,MATCH($J$6,Lookup!$C$1:$Z$1,0))</f>
        <v>4566</v>
      </c>
      <c r="G35" s="16" t="s">
        <v>78</v>
      </c>
      <c r="H35" s="37">
        <f>MIN(G18,7.5*H12)</f>
        <v>7.5</v>
      </c>
      <c r="I35" s="16" t="str">
        <f>I18</f>
        <v>MW</v>
      </c>
      <c r="J35" s="54">
        <f t="shared" ref="J35:J38" si="1">F35*H35*12</f>
        <v>410940</v>
      </c>
      <c r="L35" s="114">
        <f>INDEX(Lookup!$C$9:$Z$9,1,MATCH($J$6,Lookup!$C$1:$Z$1,0))</f>
        <v>4566</v>
      </c>
      <c r="M35" s="16" t="s">
        <v>78</v>
      </c>
      <c r="N35" s="37">
        <f>MIN(N18/12,7.5*N12)</f>
        <v>7.5</v>
      </c>
      <c r="O35" s="16" t="str">
        <f>O18</f>
        <v>MW</v>
      </c>
      <c r="P35" s="54">
        <f t="shared" ref="P35:P38" si="2">L35*N35*12</f>
        <v>410940</v>
      </c>
    </row>
    <row r="36" spans="1:16" x14ac:dyDescent="0.2">
      <c r="A36" s="15" t="s">
        <v>89</v>
      </c>
      <c r="B36" t="s">
        <v>90</v>
      </c>
      <c r="F36" s="88">
        <f>INDEX(Lookup!$C$10:$Z$10,1,MATCH($J$6,Lookup!$C$1:$Z$1,0))</f>
        <v>2860</v>
      </c>
      <c r="G36" s="16" t="s">
        <v>78</v>
      </c>
      <c r="H36" s="37">
        <f>MAX(MIN(G18,17*H12)-(7.5*H12),0)</f>
        <v>9.5</v>
      </c>
      <c r="I36" s="16" t="str">
        <f>I18</f>
        <v>MW</v>
      </c>
      <c r="J36" s="54">
        <f t="shared" si="1"/>
        <v>326040</v>
      </c>
      <c r="L36" s="114">
        <f>INDEX(Lookup!$C$10:$Z$10,1,MATCH($J$6,Lookup!$C$1:$Z$1,0))</f>
        <v>2860</v>
      </c>
      <c r="M36" s="16" t="s">
        <v>78</v>
      </c>
      <c r="N36" s="37">
        <f>MAX(MIN(N18/12,17*N12)-(7.5*N12),0)</f>
        <v>9.5</v>
      </c>
      <c r="O36" s="16" t="str">
        <f>O18</f>
        <v>MW</v>
      </c>
      <c r="P36" s="54">
        <f t="shared" si="2"/>
        <v>326040</v>
      </c>
    </row>
    <row r="37" spans="1:16" x14ac:dyDescent="0.2">
      <c r="A37" s="15" t="s">
        <v>91</v>
      </c>
      <c r="B37" t="s">
        <v>92</v>
      </c>
      <c r="F37" s="88">
        <f>INDEX(Lookup!$C$11:$Z$11,1,MATCH($J$6,Lookup!$C$1:$Z$1,0))</f>
        <v>1995</v>
      </c>
      <c r="G37" s="16" t="s">
        <v>78</v>
      </c>
      <c r="H37" s="37">
        <f>MAX(MIN(G18,40*H12)-(17*H12),0)</f>
        <v>22.060000000000002</v>
      </c>
      <c r="I37" s="16" t="str">
        <f>I18</f>
        <v>MW</v>
      </c>
      <c r="J37" s="54">
        <f t="shared" si="1"/>
        <v>528116.4</v>
      </c>
      <c r="L37" s="114">
        <f>INDEX(Lookup!$C$11:$Z$11,1,MATCH($J$6,Lookup!$C$1:$Z$1,0))</f>
        <v>1995</v>
      </c>
      <c r="M37" s="16" t="s">
        <v>78</v>
      </c>
      <c r="N37" s="37">
        <f>MAX(MIN(N18/12,40*N12)-(17*N12),0)</f>
        <v>22.060000000000002</v>
      </c>
      <c r="O37" s="16" t="str">
        <f>O18</f>
        <v>MW</v>
      </c>
      <c r="P37" s="54">
        <f t="shared" si="2"/>
        <v>528116.4</v>
      </c>
    </row>
    <row r="38" spans="1:16" x14ac:dyDescent="0.2">
      <c r="A38" s="21" t="s">
        <v>93</v>
      </c>
      <c r="B38" s="19" t="s">
        <v>94</v>
      </c>
      <c r="C38" s="19"/>
      <c r="D38" s="19"/>
      <c r="E38" s="19"/>
      <c r="F38" s="89">
        <f>INDEX(Lookup!$C$12:$Z$12,1,MATCH($J$6,Lookup!$C$1:$Z$1,0))</f>
        <v>1292</v>
      </c>
      <c r="G38" s="20" t="s">
        <v>78</v>
      </c>
      <c r="H38" s="46">
        <f>MAX(G18-(40*H12),0)</f>
        <v>0</v>
      </c>
      <c r="I38" s="20" t="str">
        <f>I18</f>
        <v>MW</v>
      </c>
      <c r="J38" s="57">
        <f t="shared" si="1"/>
        <v>0</v>
      </c>
      <c r="L38" s="116">
        <f>INDEX(Lookup!$C$12:$Z$12,1,MATCH($J$6,Lookup!$C$1:$Z$1,0))</f>
        <v>1292</v>
      </c>
      <c r="M38" s="20" t="s">
        <v>78</v>
      </c>
      <c r="N38" s="46">
        <f>MAX(N18/12-(40*N12),0)</f>
        <v>0</v>
      </c>
      <c r="O38" s="20" t="str">
        <f>O18</f>
        <v>MW</v>
      </c>
      <c r="P38" s="57">
        <f t="shared" si="2"/>
        <v>0</v>
      </c>
    </row>
    <row r="39" spans="1:16" ht="12.75" customHeight="1" x14ac:dyDescent="0.2">
      <c r="A39" s="22" t="s">
        <v>95</v>
      </c>
      <c r="B39" s="23"/>
      <c r="C39" s="23"/>
      <c r="D39" s="23"/>
      <c r="E39" s="23"/>
      <c r="F39" s="24"/>
      <c r="G39" s="25"/>
      <c r="H39" s="49"/>
      <c r="I39" s="25"/>
      <c r="J39" s="60">
        <f>SUM(J28:J38)</f>
        <v>6190709.4844381921</v>
      </c>
      <c r="L39" s="22" t="s">
        <v>95</v>
      </c>
      <c r="M39" s="25"/>
      <c r="N39" s="49"/>
      <c r="O39" s="25"/>
      <c r="P39" s="60">
        <f>SUM(P28:P38)</f>
        <v>6571107.3515692046</v>
      </c>
    </row>
    <row r="40" spans="1:16" ht="12.75" customHeight="1" x14ac:dyDescent="0.2">
      <c r="J40" s="7"/>
      <c r="L40" s="193" t="s">
        <v>151</v>
      </c>
      <c r="M40" s="175"/>
      <c r="N40" s="175"/>
      <c r="O40" s="175"/>
      <c r="P40" s="176">
        <f>P39/J39-1</f>
        <v>6.1446570556610958E-2</v>
      </c>
    </row>
    <row r="41" spans="1:16" x14ac:dyDescent="0.2">
      <c r="A41" s="5" t="s">
        <v>96</v>
      </c>
      <c r="C41" s="5"/>
      <c r="D41" s="5"/>
      <c r="E41" s="5"/>
      <c r="F41" s="5"/>
      <c r="G41" s="5"/>
      <c r="H41" s="42"/>
      <c r="I41" s="5"/>
      <c r="J41" s="9"/>
      <c r="L41" s="172"/>
      <c r="M41" s="172"/>
      <c r="N41" s="173"/>
      <c r="O41" s="172"/>
      <c r="P41" s="189"/>
    </row>
    <row r="42" spans="1:16" x14ac:dyDescent="0.2">
      <c r="A42" s="10" t="s">
        <v>97</v>
      </c>
      <c r="B42" s="11" t="s">
        <v>55</v>
      </c>
      <c r="C42" s="11"/>
      <c r="D42" s="51" t="s">
        <v>98</v>
      </c>
      <c r="E42" s="62">
        <f>H19</f>
        <v>9.621469183665253E-2</v>
      </c>
      <c r="F42" s="52">
        <f>H22</f>
        <v>18.28</v>
      </c>
      <c r="G42" s="50" t="s">
        <v>66</v>
      </c>
      <c r="H42" s="47">
        <f>H17</f>
        <v>237024.77118571504</v>
      </c>
      <c r="I42" s="12" t="str">
        <f>I17</f>
        <v>MWh</v>
      </c>
      <c r="J42" s="58">
        <f>E42*F42*H42</f>
        <v>416880.25</v>
      </c>
      <c r="L42" s="118">
        <f>F42</f>
        <v>18.28</v>
      </c>
      <c r="M42" s="50" t="s">
        <v>66</v>
      </c>
      <c r="N42" s="47">
        <f>N17</f>
        <v>237024.77118571504</v>
      </c>
      <c r="O42" s="12" t="str">
        <f>O17</f>
        <v>MWh</v>
      </c>
      <c r="P42" s="58">
        <f>E42*L42*N42</f>
        <v>416880.25</v>
      </c>
    </row>
    <row r="43" spans="1:16" x14ac:dyDescent="0.2">
      <c r="A43" s="5" t="s">
        <v>99</v>
      </c>
      <c r="C43" s="5"/>
      <c r="D43" s="5"/>
      <c r="E43" s="5"/>
      <c r="F43" s="5"/>
      <c r="G43" s="5"/>
      <c r="H43" s="42"/>
      <c r="I43" s="5"/>
      <c r="J43" s="9"/>
      <c r="L43" s="117"/>
      <c r="M43" s="5"/>
      <c r="N43" s="42"/>
      <c r="O43" s="5"/>
      <c r="P43" s="9"/>
    </row>
    <row r="44" spans="1:16" x14ac:dyDescent="0.2">
      <c r="A44" s="10" t="s">
        <v>100</v>
      </c>
      <c r="B44" s="11" t="s">
        <v>55</v>
      </c>
      <c r="C44" s="11"/>
      <c r="D44" s="11"/>
      <c r="E44" s="11"/>
      <c r="F44" s="90">
        <f>INDEX(Lookup!$C$20:$Z$20,1,MATCH($J$6,Lookup!$C$1:$Z$1,0))</f>
        <v>2E-3</v>
      </c>
      <c r="G44" s="12" t="s">
        <v>66</v>
      </c>
      <c r="H44" s="47">
        <f>H17</f>
        <v>237024.77118571504</v>
      </c>
      <c r="I44" s="12" t="str">
        <f>I17</f>
        <v>MWh</v>
      </c>
      <c r="J44" s="58">
        <f>F44*H44</f>
        <v>474.04954237143011</v>
      </c>
      <c r="L44" s="119">
        <f>INDEX(Lookup!$C$20:$Z$20,1,MATCH($J$6,Lookup!$C$1:$Z$1,0))</f>
        <v>2E-3</v>
      </c>
      <c r="M44" s="12" t="s">
        <v>66</v>
      </c>
      <c r="N44" s="47">
        <f>N17</f>
        <v>237024.77118571504</v>
      </c>
      <c r="O44" s="12" t="str">
        <f>O17</f>
        <v>MWh</v>
      </c>
      <c r="P44" s="58">
        <f>L44*N44</f>
        <v>474.04954237143011</v>
      </c>
    </row>
    <row r="45" spans="1:16" x14ac:dyDescent="0.2">
      <c r="A45" s="5" t="s">
        <v>101</v>
      </c>
      <c r="C45" s="5"/>
      <c r="D45" s="5"/>
      <c r="E45" s="5"/>
      <c r="F45" s="5"/>
      <c r="G45" s="5"/>
      <c r="H45" s="42"/>
      <c r="I45" s="5"/>
      <c r="J45" s="9"/>
      <c r="L45" s="117"/>
      <c r="M45" s="5"/>
      <c r="N45" s="42"/>
      <c r="O45" s="5"/>
      <c r="P45" s="9"/>
    </row>
    <row r="46" spans="1:16" x14ac:dyDescent="0.2">
      <c r="A46" s="74" t="s">
        <v>102</v>
      </c>
      <c r="B46" s="11" t="s">
        <v>55</v>
      </c>
      <c r="C46" s="11"/>
      <c r="D46" s="11"/>
      <c r="E46" s="11"/>
      <c r="F46" s="87">
        <f>INDEX(Lookup!$C$21:$Z$21,1,MATCH($J$6,Lookup!$C$1:$Z$1,0))</f>
        <v>0.06</v>
      </c>
      <c r="G46" s="12" t="s">
        <v>66</v>
      </c>
      <c r="H46" s="47">
        <f>H17</f>
        <v>237024.77118571504</v>
      </c>
      <c r="I46" s="12" t="str">
        <f>I17</f>
        <v>MWh</v>
      </c>
      <c r="J46" s="58">
        <f>F46*H46</f>
        <v>14221.486271142901</v>
      </c>
      <c r="L46" s="120">
        <f>INDEX(Lookup!$C$21:$Z$21,1,MATCH($J$6,Lookup!$C$1:$Z$1,0))</f>
        <v>0.06</v>
      </c>
      <c r="M46" s="12" t="s">
        <v>66</v>
      </c>
      <c r="N46" s="47">
        <f>N17</f>
        <v>237024.77118571504</v>
      </c>
      <c r="O46" s="12" t="str">
        <f>O17</f>
        <v>MWh</v>
      </c>
      <c r="P46" s="58">
        <f>L46*N46</f>
        <v>14221.486271142901</v>
      </c>
    </row>
    <row r="47" spans="1:16" x14ac:dyDescent="0.2">
      <c r="A47" s="5" t="s">
        <v>103</v>
      </c>
      <c r="B47" s="5"/>
      <c r="C47" s="5"/>
      <c r="D47" s="5"/>
      <c r="E47" s="5"/>
      <c r="F47" s="5"/>
      <c r="G47" s="5"/>
      <c r="H47" s="42"/>
      <c r="I47" s="5"/>
      <c r="J47" s="9"/>
      <c r="L47" s="117"/>
      <c r="M47" s="5"/>
      <c r="N47" s="42"/>
      <c r="O47" s="5"/>
      <c r="P47" s="9"/>
    </row>
    <row r="48" spans="1:16" x14ac:dyDescent="0.2">
      <c r="A48" s="75" t="s">
        <v>104</v>
      </c>
      <c r="B48" s="13" t="s">
        <v>48</v>
      </c>
      <c r="C48" s="13"/>
      <c r="D48" s="13"/>
      <c r="E48" s="13"/>
      <c r="F48" s="91">
        <f>INDEX(Lookup!$C$22:$Z$22,1,MATCH($J$6,Lookup!$C$1:$Z$1,0))</f>
        <v>38</v>
      </c>
      <c r="G48" s="14" t="s">
        <v>78</v>
      </c>
      <c r="H48" s="48">
        <f>H14</f>
        <v>358.05733272264627</v>
      </c>
      <c r="I48" s="14" t="str">
        <f>I14</f>
        <v>MW</v>
      </c>
      <c r="J48" s="59">
        <f t="shared" ref="J48:J49" si="3">F48*H48</f>
        <v>13606.178643460558</v>
      </c>
      <c r="L48" s="121">
        <f>INDEX(Lookup!$C$22:$Z$22,1,MATCH($J$6,Lookup!$C$1:$Z$1,0))</f>
        <v>38</v>
      </c>
      <c r="M48" s="14" t="s">
        <v>78</v>
      </c>
      <c r="N48" s="48">
        <f>N14</f>
        <v>358.05733272264627</v>
      </c>
      <c r="O48" s="14" t="str">
        <f>O14</f>
        <v>MW</v>
      </c>
      <c r="P48" s="59">
        <f t="shared" ref="P48:P49" si="4">L48*N48</f>
        <v>13606.178643460558</v>
      </c>
    </row>
    <row r="49" spans="1:16" x14ac:dyDescent="0.2">
      <c r="A49" s="76" t="s">
        <v>105</v>
      </c>
      <c r="B49" s="19" t="s">
        <v>62</v>
      </c>
      <c r="C49" s="19"/>
      <c r="D49" s="19"/>
      <c r="E49" s="19"/>
      <c r="F49" s="89">
        <f>INDEX(Lookup!$C$24:$Z$24,1,MATCH($J$6,Lookup!$C$1:$Z$1,0))</f>
        <v>400</v>
      </c>
      <c r="G49" s="20" t="s">
        <v>106</v>
      </c>
      <c r="H49" s="46">
        <f>H20</f>
        <v>0</v>
      </c>
      <c r="I49" s="20" t="str">
        <f>I20</f>
        <v>MVA</v>
      </c>
      <c r="J49" s="57">
        <f t="shared" si="3"/>
        <v>0</v>
      </c>
      <c r="L49" s="116">
        <f>INDEX(Lookup!$C$24:$Z$24,1,MATCH($J$6,Lookup!$C$1:$Z$1,0))</f>
        <v>400</v>
      </c>
      <c r="M49" s="20" t="s">
        <v>106</v>
      </c>
      <c r="N49" s="46">
        <f>N20</f>
        <v>0</v>
      </c>
      <c r="O49" s="20" t="str">
        <f>O20</f>
        <v>MVA</v>
      </c>
      <c r="P49" s="57">
        <f t="shared" si="4"/>
        <v>0</v>
      </c>
    </row>
    <row r="50" spans="1:16" x14ac:dyDescent="0.2">
      <c r="A50" s="22" t="s">
        <v>107</v>
      </c>
      <c r="B50" s="23"/>
      <c r="C50" s="23"/>
      <c r="D50" s="23"/>
      <c r="E50" s="23"/>
      <c r="F50" s="24"/>
      <c r="G50" s="25"/>
      <c r="H50" s="49"/>
      <c r="I50" s="25"/>
      <c r="J50" s="60">
        <f>SUM(J39:J49)</f>
        <v>6635891.4488951666</v>
      </c>
      <c r="L50" s="22" t="s">
        <v>107</v>
      </c>
      <c r="M50" s="25"/>
      <c r="N50" s="49"/>
      <c r="O50" s="25"/>
      <c r="P50" s="60">
        <f>SUM(P39:P49)</f>
        <v>7016289.3774727499</v>
      </c>
    </row>
    <row r="51" spans="1:16" ht="9" customHeight="1" x14ac:dyDescent="0.2">
      <c r="J51" s="7"/>
      <c r="P51" s="7"/>
    </row>
    <row r="52" spans="1:16" x14ac:dyDescent="0.2">
      <c r="A52" s="28" t="s">
        <v>108</v>
      </c>
      <c r="B52" s="29"/>
      <c r="C52" s="29"/>
      <c r="D52" s="29"/>
      <c r="E52" s="29"/>
      <c r="F52" s="30"/>
      <c r="G52" s="29"/>
      <c r="H52" s="43"/>
      <c r="I52" s="29"/>
      <c r="J52" s="53"/>
      <c r="L52" s="115"/>
      <c r="M52" s="32"/>
      <c r="N52" s="45"/>
      <c r="O52" s="32"/>
      <c r="P52" s="56"/>
    </row>
    <row r="53" spans="1:16" x14ac:dyDescent="0.2">
      <c r="A53" s="15"/>
      <c r="B53" t="s">
        <v>85</v>
      </c>
      <c r="F53" s="194">
        <f>INDEX(Lookup!$C$13:$Z$13,1,MATCH($J$6,Lookup!$C$1:$Z$1,0))</f>
        <v>-8910</v>
      </c>
      <c r="G53" s="16" t="s">
        <v>86</v>
      </c>
      <c r="H53" s="39">
        <f>H12</f>
        <v>1</v>
      </c>
      <c r="J53" s="54">
        <f>IF(H$13="No",0,F53*H53)*12</f>
        <v>0</v>
      </c>
      <c r="L53" s="195">
        <f>INDEX(Lookup!$C$13:$Z$13,1,MATCH($P$6,Lookup!$C$1:$Z$1,0))</f>
        <v>-8910</v>
      </c>
      <c r="M53" s="16" t="s">
        <v>86</v>
      </c>
      <c r="N53" s="39">
        <f>N12</f>
        <v>1</v>
      </c>
      <c r="P53" s="54">
        <f>IF($N$13="No",0,L53*N53*12)</f>
        <v>0</v>
      </c>
    </row>
    <row r="54" spans="1:16" x14ac:dyDescent="0.2">
      <c r="A54" s="15"/>
      <c r="B54" t="s">
        <v>88</v>
      </c>
      <c r="F54" s="194">
        <f>INDEX(Lookup!$C$14:$Z$14,1,MATCH($J$6,Lookup!$C$1:$Z$1,0))</f>
        <v>-3607</v>
      </c>
      <c r="G54" s="16" t="s">
        <v>78</v>
      </c>
      <c r="H54" s="37">
        <f>H35</f>
        <v>7.5</v>
      </c>
      <c r="I54" s="16" t="str">
        <f>I32</f>
        <v>MWh</v>
      </c>
      <c r="J54" s="54">
        <f t="shared" ref="J54:J57" si="5">IF(H$13="No",0,F54*H54)*12</f>
        <v>0</v>
      </c>
      <c r="L54" s="195">
        <f>INDEX(Lookup!$C$14:$Z$14,1,MATCH($P$6,Lookup!$C$1:$Z$1,0))</f>
        <v>-3607</v>
      </c>
      <c r="M54" s="16" t="s">
        <v>78</v>
      </c>
      <c r="N54" s="37">
        <f>N35</f>
        <v>7.5</v>
      </c>
      <c r="O54" s="16" t="str">
        <f>O32</f>
        <v>MWh</v>
      </c>
      <c r="P54" s="54">
        <f t="shared" ref="P54:P57" si="6">IF($N$13="No",0,L54*N54*12)</f>
        <v>0</v>
      </c>
    </row>
    <row r="55" spans="1:16" x14ac:dyDescent="0.2">
      <c r="A55" s="15"/>
      <c r="B55" t="s">
        <v>90</v>
      </c>
      <c r="F55" s="194">
        <f>INDEX(Lookup!$C$15:$Z$15,1,MATCH($J$6,Lookup!$C$1:$Z$1,0))</f>
        <v>-2259</v>
      </c>
      <c r="G55" s="16" t="s">
        <v>78</v>
      </c>
      <c r="H55" s="37">
        <f>H36</f>
        <v>9.5</v>
      </c>
      <c r="I55" s="16" t="str">
        <f>I32</f>
        <v>MWh</v>
      </c>
      <c r="J55" s="54">
        <f t="shared" si="5"/>
        <v>0</v>
      </c>
      <c r="L55" s="195">
        <f>INDEX(Lookup!$C$15:$Z$15,1,MATCH($P$6,Lookup!$C$1:$Z$1,0))</f>
        <v>-2259</v>
      </c>
      <c r="M55" s="16" t="s">
        <v>78</v>
      </c>
      <c r="N55" s="37">
        <f>N36</f>
        <v>9.5</v>
      </c>
      <c r="O55" s="16" t="str">
        <f>O32</f>
        <v>MWh</v>
      </c>
      <c r="P55" s="54">
        <f t="shared" si="6"/>
        <v>0</v>
      </c>
    </row>
    <row r="56" spans="1:16" x14ac:dyDescent="0.2">
      <c r="A56" s="15"/>
      <c r="B56" t="s">
        <v>92</v>
      </c>
      <c r="F56" s="194">
        <f>INDEX(Lookup!$C$16:$Z$16,1,MATCH($J$6,Lookup!$C$1:$Z$1,0))</f>
        <v>-1576</v>
      </c>
      <c r="G56" s="16" t="s">
        <v>78</v>
      </c>
      <c r="H56" s="37">
        <f>H37</f>
        <v>22.060000000000002</v>
      </c>
      <c r="I56" s="16" t="str">
        <f>I32</f>
        <v>MWh</v>
      </c>
      <c r="J56" s="54">
        <f t="shared" si="5"/>
        <v>0</v>
      </c>
      <c r="L56" s="195">
        <f>INDEX(Lookup!$C$16:$Z$16,1,MATCH($P$6,Lookup!$C$1:$Z$1,0))</f>
        <v>-1576</v>
      </c>
      <c r="M56" s="16" t="s">
        <v>78</v>
      </c>
      <c r="N56" s="37">
        <f>N37</f>
        <v>22.060000000000002</v>
      </c>
      <c r="O56" s="16" t="str">
        <f>O32</f>
        <v>MWh</v>
      </c>
      <c r="P56" s="54">
        <f t="shared" si="6"/>
        <v>0</v>
      </c>
    </row>
    <row r="57" spans="1:16" x14ac:dyDescent="0.2">
      <c r="A57" s="21"/>
      <c r="B57" s="19" t="s">
        <v>94</v>
      </c>
      <c r="C57" s="19"/>
      <c r="D57" s="19"/>
      <c r="E57" s="19"/>
      <c r="F57" s="194">
        <f>INDEX(Lookup!$C$17:$Z$17,1,MATCH($J$6,Lookup!$C$1:$Z$1,0))</f>
        <v>-1292</v>
      </c>
      <c r="G57" s="20" t="s">
        <v>78</v>
      </c>
      <c r="H57" s="46">
        <f>H38</f>
        <v>0</v>
      </c>
      <c r="I57" s="20" t="str">
        <f>I32</f>
        <v>MWh</v>
      </c>
      <c r="J57" s="57">
        <f t="shared" si="5"/>
        <v>0</v>
      </c>
      <c r="L57" s="196">
        <f>INDEX(Lookup!$C$17:$Z$17,1,MATCH($P$6,Lookup!$C$1:$Z$1,0))</f>
        <v>-1292</v>
      </c>
      <c r="M57" s="20" t="s">
        <v>78</v>
      </c>
      <c r="N57" s="46">
        <f>N38</f>
        <v>0</v>
      </c>
      <c r="O57" s="20" t="str">
        <f>O32</f>
        <v>MWh</v>
      </c>
      <c r="P57" s="57">
        <f t="shared" si="6"/>
        <v>0</v>
      </c>
    </row>
    <row r="58" spans="1:16" x14ac:dyDescent="0.2">
      <c r="A58" s="22" t="s">
        <v>109</v>
      </c>
      <c r="B58" s="23"/>
      <c r="C58" s="23"/>
      <c r="D58" s="23"/>
      <c r="E58" s="23"/>
      <c r="F58" s="24"/>
      <c r="G58" s="25"/>
      <c r="H58" s="49"/>
      <c r="I58" s="25"/>
      <c r="J58" s="60">
        <f>SUM(J53:J57)</f>
        <v>0</v>
      </c>
      <c r="L58" s="22" t="s">
        <v>109</v>
      </c>
      <c r="M58" s="25"/>
      <c r="N58" s="49"/>
      <c r="O58" s="25"/>
      <c r="P58" s="60">
        <f>SUM(P53:P57)</f>
        <v>0</v>
      </c>
    </row>
    <row r="59" spans="1:16" ht="9" customHeight="1" x14ac:dyDescent="0.2">
      <c r="J59" s="7"/>
      <c r="P59" s="7"/>
    </row>
    <row r="60" spans="1:16" x14ac:dyDescent="0.2">
      <c r="A60" s="22" t="s">
        <v>110</v>
      </c>
      <c r="B60" s="23"/>
      <c r="C60" s="23"/>
      <c r="D60" s="23"/>
      <c r="E60" s="23"/>
      <c r="F60" s="24"/>
      <c r="G60" s="25"/>
      <c r="H60" s="49"/>
      <c r="I60" s="25"/>
      <c r="J60" s="60">
        <f>SUM(J50,J58)</f>
        <v>6635891.4488951666</v>
      </c>
      <c r="L60" s="221" t="s">
        <v>110</v>
      </c>
      <c r="M60" s="222"/>
      <c r="N60" s="223"/>
      <c r="O60" s="222"/>
      <c r="P60" s="224">
        <f>SUM(P50,P58)</f>
        <v>7016289.3774727499</v>
      </c>
    </row>
    <row r="61" spans="1:16" ht="12.75" customHeight="1" x14ac:dyDescent="0.2">
      <c r="J61" s="7"/>
      <c r="L61" s="225" t="s">
        <v>111</v>
      </c>
      <c r="M61" s="226"/>
      <c r="N61" s="226"/>
      <c r="O61" s="226"/>
      <c r="P61" s="227">
        <f>P60/J60-1</f>
        <v>5.7324314526108866E-2</v>
      </c>
    </row>
    <row r="62" spans="1:16" ht="9" customHeight="1" x14ac:dyDescent="0.2">
      <c r="J62" s="7"/>
      <c r="P62" s="7"/>
    </row>
    <row r="63" spans="1:16" x14ac:dyDescent="0.2">
      <c r="A63" s="22" t="s">
        <v>112</v>
      </c>
      <c r="B63" s="23"/>
      <c r="C63" s="23"/>
      <c r="D63" s="23"/>
      <c r="E63" s="23"/>
      <c r="F63" s="27"/>
      <c r="G63" s="25"/>
      <c r="H63" s="26"/>
      <c r="I63" s="25"/>
      <c r="J63" s="60">
        <f>INDEX('Site Data Input'!$M$2:$M$6,MATCH($P$7,'Site Data Input'!$A$2:$A$6),1)</f>
        <v>4341870.7719083978</v>
      </c>
      <c r="L63" s="214" t="s">
        <v>112</v>
      </c>
      <c r="M63" s="215"/>
      <c r="N63" s="216">
        <f>N17</f>
        <v>237024.77118571504</v>
      </c>
      <c r="O63" s="217" t="s">
        <v>56</v>
      </c>
      <c r="P63" s="218">
        <f>N63*$N$21</f>
        <v>4341870.7719083978</v>
      </c>
    </row>
    <row r="64" spans="1:16" ht="9" customHeight="1" x14ac:dyDescent="0.2">
      <c r="J64" s="7"/>
      <c r="P64" s="7"/>
    </row>
    <row r="65" spans="1:16" x14ac:dyDescent="0.2">
      <c r="A65" s="5" t="s">
        <v>113</v>
      </c>
      <c r="B65" s="5"/>
      <c r="C65" s="5"/>
      <c r="D65" s="5"/>
      <c r="E65" s="5"/>
      <c r="F65" s="5"/>
      <c r="G65" s="5"/>
      <c r="H65" s="5"/>
      <c r="I65" s="5"/>
      <c r="J65" s="61">
        <f>SUM(J60,J63)</f>
        <v>10977762.220803564</v>
      </c>
      <c r="L65" s="5" t="s">
        <v>113</v>
      </c>
      <c r="M65" s="5"/>
      <c r="N65" s="5"/>
      <c r="O65" s="5"/>
      <c r="P65" s="61">
        <f>SUM(P60,P63)</f>
        <v>11358160.149381148</v>
      </c>
    </row>
    <row r="66" spans="1:16" ht="12.75" customHeight="1" x14ac:dyDescent="0.2">
      <c r="J66" s="7"/>
      <c r="L66" s="209" t="s">
        <v>114</v>
      </c>
      <c r="M66" s="210"/>
      <c r="N66" s="210"/>
      <c r="O66" s="210"/>
      <c r="P66" s="211">
        <f>P65/J65-1</f>
        <v>3.4651682276074958E-2</v>
      </c>
    </row>
  </sheetData>
  <mergeCells count="11">
    <mergeCell ref="N11:O11"/>
    <mergeCell ref="A25:J25"/>
    <mergeCell ref="C1:H1"/>
    <mergeCell ref="C3:H3"/>
    <mergeCell ref="C4:E4"/>
    <mergeCell ref="H11:I11"/>
    <mergeCell ref="A24:E24"/>
    <mergeCell ref="F24:G24"/>
    <mergeCell ref="H24:I24"/>
    <mergeCell ref="L24:M24"/>
    <mergeCell ref="N24:O24"/>
  </mergeCells>
  <conditionalFormatting sqref="A52:J52 A53:E57 G53:J57">
    <cfRule type="expression" dxfId="4" priority="5">
      <formula>$H$13="No"</formula>
    </cfRule>
  </conditionalFormatting>
  <conditionalFormatting sqref="L52:P52 M53:P57">
    <cfRule type="expression" dxfId="3" priority="4">
      <formula>$N$13="No"</formula>
    </cfRule>
  </conditionalFormatting>
  <conditionalFormatting sqref="F53:F57">
    <cfRule type="expression" dxfId="2" priority="3">
      <formula>$H$13="No"</formula>
    </cfRule>
  </conditionalFormatting>
  <conditionalFormatting sqref="L53">
    <cfRule type="expression" dxfId="1" priority="2">
      <formula>$H$13="No"</formula>
    </cfRule>
  </conditionalFormatting>
  <conditionalFormatting sqref="L54:L57">
    <cfRule type="expression" dxfId="0" priority="1">
      <formula>$H$13="No"</formula>
    </cfRule>
  </conditionalFormatting>
  <dataValidations count="6">
    <dataValidation allowBlank="1" showInputMessage="1" sqref="C4:F4 C1:H3 L9 N6:N8 O6:P6" xr:uid="{3B650355-A6B9-4F85-9CFD-4D41482778DB}"/>
    <dataValidation allowBlank="1" showErrorMessage="1" promptTitle="Reference" prompt="For more information, see the definition of metered demand in the Consolidated Authoritative Documents Glossary." sqref="M19:M22 G12:G22" xr:uid="{95C1D308-6913-43CE-86BD-6650D1CF7A55}"/>
    <dataValidation allowBlank="1" showInputMessage="1" showErrorMessage="1" promptTitle="Reference" prompt="For more information, see the definition of billing capacity in the Consolidated Authoritative Documents Glossary." sqref="G17" xr:uid="{BA909466-084D-4543-B4C4-3CD15E0621D5}"/>
    <dataValidation allowBlank="1" showInputMessage="1" showErrorMessage="1" promptTitle="Reference" prompt="For more information, see subsection 7(b) of Rate DTS: Demand Transmission Service in the ISO tariff." sqref="G20 M20" xr:uid="{E630474F-9DA1-44B3-AB43-00A0CFAE401F}"/>
    <dataValidation allowBlank="1" showInputMessage="1" showErrorMessage="1" promptTitle="Reference" prompt="For more information, see subsection 4(2) of Rate DTS: Demand Transmission Service in the ISO tariff." sqref="G19" xr:uid="{C1DC3AB9-EA77-45FD-A1C5-C329C0B3821D}"/>
    <dataValidation allowBlank="1" showErrorMessage="1" sqref="H13" xr:uid="{620925F5-71FB-442E-BAD4-B86DD8A0A3A5}"/>
  </dataValidations>
  <printOptions horizontalCentered="1"/>
  <pageMargins left="0.25" right="0.25" top="0.5" bottom="0.5" header="0.3" footer="0.3"/>
  <pageSetup scale="93" orientation="portrait" r:id="rId1"/>
  <headerFooter alignWithMargins="0">
    <oddFooter>&amp;L&amp;8Attachment to Bill Estimator for 2021 Tariff (AESO ID #2021-015T)
Filename: &amp;F — Page&amp;P of &amp;N&amp;R&amp;8Confidentiality: Proprietary When Completed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Collabware CLM Item Unique ID</Name>
    <Synchronization>Synchronous</Synchronization>
    <Type>1</Type>
    <SequenceNumber>1</SequenceNumber>
    <Url/>
    <Assembly>Collabware.SharePoint.RecordsManagement, Version=1.0.0.0, Culture=neutral, PublicKeyToken=801662d3f2b71412</Assembly>
    <Class>Collabware.SharePoint.RecordsManagement.ItemUniqueIdContentTypeReceiver</Class>
    <Data/>
    <Filter/>
  </Receiver>
  <Receiver>
    <Name>Collabware CLM Item Unique ID</Name>
    <Synchronization>Synchronous</Synchronization>
    <Type>10002</Type>
    <SequenceNumber>10500</SequenceNumber>
    <Url/>
    <Assembly>Collabware.SharePoint.RecordsManagement, Version=1.0.0.0, Culture=neutral, PublicKeyToken=801662d3f2b71412</Assembly>
    <Class>Collabware.SharePoint.RecordsManagement.ItemUniqueIdContentTypeReceiver</Class>
    <Data/>
    <Filter/>
  </Receiver>
  <Receiver>
    <Name>Collabware CLM Item Unique ID</Name>
    <Synchronization>Synchronous</Synchronization>
    <Type>10004</Type>
    <SequenceNumber>10501</SequenceNumber>
    <Url/>
    <Assembly>Collabware.SharePoint.RecordsManagement, Version=1.0.0.0, Culture=neutral, PublicKeyToken=801662d3f2b71412</Assembly>
    <Class>Collabware.SharePoint.RecordsManagement.ItemUniqueIdContentTypeReceiver</Class>
    <Data/>
    <Filter/>
  </Receiver>
  <Receiver>
    <Name>Collabware CLM Item Unique ID</Name>
    <Synchronization>Synchronous</Synchronization>
    <Type>10006</Type>
    <SequenceNumber>10502</SequenceNumber>
    <Url/>
    <Assembly>Collabware.SharePoint.RecordsManagement, Version=1.0.0.0, Culture=neutral, PublicKeyToken=801662d3f2b71412</Assembly>
    <Class>Collabware.SharePoint.RecordsManagement.ItemUniqueIdContentTypeReceiver</Class>
    <Data/>
    <Filter/>
  </Receiver>
  <Receiver>
    <Name>Collabware CLM Item Processing</Name>
    <Synchronization>Synchronous</Synchronization>
    <Type>10001</Type>
    <SequenceNumber>12000</SequenceNumber>
    <Url/>
    <Assembly>Collabware.SharePoint.RecordsManagement, Version=1.0.0.0, Culture=neutral, PublicKeyToken=801662d3f2b71412</Assembly>
    <Class>Collabware.SharePoint.RecordsManagement.ItemProcessingContentTypeReceiver</Class>
    <Data/>
    <Filter/>
  </Receiver>
  <Receiver>
    <Name>Collabware CLM Item Processing</Name>
    <Synchronization>Asynchronous</Synchronization>
    <Type>10002</Type>
    <SequenceNumber>12001</SequenceNumber>
    <Url/>
    <Assembly>Collabware.SharePoint.RecordsManagement, Version=1.0.0.0, Culture=neutral, PublicKeyToken=801662d3f2b71412</Assembly>
    <Class>Collabware.SharePoint.RecordsManagement.ItemProcessingContentTypeReceiver</Class>
    <Data/>
    <Filter/>
  </Receiver>
  <Receiver>
    <Name>Collabware CLM Item Processing</Name>
    <Synchronization>Asynchronous</Synchronization>
    <Type>10004</Type>
    <SequenceNumber>12002</SequenceNumber>
    <Url/>
    <Assembly>Collabware.SharePoint.RecordsManagement, Version=1.0.0.0, Culture=neutral, PublicKeyToken=801662d3f2b71412</Assembly>
    <Class>Collabware.SharePoint.RecordsManagement.ItemProcessingContentTypeReceiver</Class>
    <Data/>
    <Filter/>
  </Receiver>
  <Receiver>
    <Name>Collabware CLM Item Processing</Name>
    <Synchronization>Synchronous</Synchronization>
    <Type>3</Type>
    <SequenceNumber>10003</SequenceNumber>
    <Url/>
    <Assembly>Collabware.SharePoint.RecordsManagement, Version=1.0.0.0, Culture=neutral, PublicKeyToken=801662d3f2b71412</Assembly>
    <Class>Collabware.SharePoint.RecordsManagement.ItemProcessingContentTypeReceiver</Class>
    <Data/>
    <Filter/>
  </Receiver>
  <Receiver>
    <Name>Collabware CLM Item Audit</Name>
    <Synchronization>Asynchronous</Synchronization>
    <Type>10001</Type>
    <SequenceNumber>11000</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10002</Type>
    <SequenceNumber>11001</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10005</Type>
    <SequenceNumber>11002</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10006</Type>
    <SequenceNumber>11003</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10004</Type>
    <SequenceNumber>11004</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Synchronous</Synchronization>
    <Type>3</Type>
    <SequenceNumber>11005</SequenceNumber>
    <Url/>
    <Assembly>Collabware.SharePoint.RecordsManagement, Version=1.0.0.0, Culture=neutral, PublicKeyToken=801662d3f2b71412</Assembly>
    <Class>Collabware.SharePoint.RecordsManagement.ItemAuditContentTypeReceiver</Class>
    <Data/>
    <Filter/>
  </Receiver>
  <Receiver>
    <Name>Collabware CLM Item Security</Name>
    <Synchronization>Asynchronous</Synchronization>
    <Type>10002</Type>
    <SequenceNumber>13000</SequenceNumber>
    <Url/>
    <Assembly>Collabware.SharePoint.RecordsManagement, Version=1.0.0.0, Culture=neutral, PublicKeyToken=801662d3f2b71412</Assembly>
    <Class>Collabware.SharePoint.RecordsManagement.ItemSecurityContentTypeReceiver</Class>
    <Data/>
    <Filter/>
  </Receiver>
  <Receiver>
    <Name/>
    <Synchronization>Synchronous</Synchronization>
    <Type>10001</Type>
    <SequenceNumber>1</SequenceNumber>
    <Url/>
    <Assembly>Collabware.SharePoint.RecordsManagement, Version=1.0.0.0, Culture=neutral, PublicKeyToken=801662d3f2b71412</Assembly>
    <Class>Collabware.SharePoint.RecordsManagement.BeforeVerifyItemAddedReceiver</Class>
    <Data/>
    <Filter/>
  </Receiver>
  <Receiver>
    <Name/>
    <Synchronization>Synchronous</Synchronization>
    <Type>10001</Type>
    <SequenceNumber>9000</SequenceNumber>
    <Url/>
    <Assembly>Collabware.SharePoint.RecordsManagement, Version=1.0.0.0, Culture=neutral, PublicKeyToken=801662d3f2b71412</Assembly>
    <Class>Collabware.SharePoint.RecordsManagement.VerifyItemAddedReceiver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93371fdb-7bec-4d52-adeb-1166efac0023" ContentTypeId="0x010100BC84ACA119491D43B8AEA0C41A758E3B0B06" PreviousValue="false"/>
</file>

<file path=customXml/item4.xml><?xml version="1.0" encoding="utf-8"?>
<ct:contentTypeSchema xmlns:ct="http://schemas.microsoft.com/office/2006/metadata/contentType" xmlns:ma="http://schemas.microsoft.com/office/2006/metadata/properties/metaAttributes" ct:_="" ma:_="" ma:contentTypeName="Tariff Document" ma:contentTypeID="0x010100BC84ACA119491D43B8AEA0C41A758E3B0B0600B71823FBBAAF324C862125ECD85A823C" ma:contentTypeVersion="51" ma:contentTypeDescription="" ma:contentTypeScope="" ma:versionID="d32982135025f4277788c602658eed90">
  <xsd:schema xmlns:xsd="http://www.w3.org/2001/XMLSchema" xmlns:xs="http://www.w3.org/2001/XMLSchema" xmlns:p="http://schemas.microsoft.com/office/2006/metadata/properties" xmlns:ns2="bfc2574c-8110-4e43-9784-1ee86de75c6c" xmlns:ns4="650fffc6-a86a-4844-afad-966e4497fd3d" xmlns:ns5="3874a12c-cb96-46c0-a01b-e4d7e8d40966" targetNamespace="http://schemas.microsoft.com/office/2006/metadata/properties" ma:root="true" ma:fieldsID="190e0d48477b3e583190f42dea4addcc" ns2:_="" ns4:_="" ns5:_="">
    <xsd:import namespace="bfc2574c-8110-4e43-9784-1ee86de75c6c"/>
    <xsd:import namespace="650fffc6-a86a-4844-afad-966e4497fd3d"/>
    <xsd:import namespace="3874a12c-cb96-46c0-a01b-e4d7e8d40966"/>
    <xsd:element name="properties">
      <xsd:complexType>
        <xsd:sequence>
          <xsd:element name="documentManagement">
            <xsd:complexType>
              <xsd:all>
                <xsd:element ref="ns2:Activity_x0020_Complete_x0020_Date" minOccurs="0"/>
                <xsd:element ref="ns2:LARA_x0020_Status" minOccurs="0"/>
                <xsd:element ref="ns2:Filing_x0020_Date" minOccurs="0"/>
                <xsd:element ref="ns4:CWRMItemRecordState" minOccurs="0"/>
                <xsd:element ref="ns4:CWRMItemRecordCategory" minOccurs="0"/>
                <xsd:element ref="ns4:e94be97ffb024deb9c3d6d978a059d35" minOccurs="0"/>
                <xsd:element ref="ns2:TaxCatchAll" minOccurs="0"/>
                <xsd:element ref="ns2:TaxCatchAllLabel" minOccurs="0"/>
                <xsd:element ref="ns4:CWRMItemRecordStatus" minOccurs="0"/>
                <xsd:element ref="ns4:CWRMItemRecordDeclaredDate" minOccurs="0"/>
                <xsd:element ref="ns4:CWRMItemRecordVital" minOccurs="0"/>
                <xsd:element ref="ns4:CWRMItemRecordData" minOccurs="0"/>
                <xsd:element ref="ns2:fdc7710463144dc19a8992998d0907da" minOccurs="0"/>
                <xsd:element ref="ns2:_dlc_DocId" minOccurs="0"/>
                <xsd:element ref="ns2:_dlc_DocIdUrl" minOccurs="0"/>
                <xsd:element ref="ns2:_dlc_DocIdPersistId" minOccurs="0"/>
                <xsd:element ref="ns4:CWRMItemUniqueId" minOccurs="0"/>
                <xsd:element ref="ns2:o74c417c636446b2936ee46a3b1dd71d" minOccurs="0"/>
                <xsd:element ref="ns5:SharedWithUsers"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c2574c-8110-4e43-9784-1ee86de75c6c" elementFormDefault="qualified">
    <xsd:import namespace="http://schemas.microsoft.com/office/2006/documentManagement/types"/>
    <xsd:import namespace="http://schemas.microsoft.com/office/infopath/2007/PartnerControls"/>
    <xsd:element name="Activity_x0020_Complete_x0020_Date" ma:index="2" nillable="true" ma:displayName="Activity Complete Date" ma:description="Example: 02/23/2020" ma:format="DateOnly" ma:internalName="Activity_x0020_Complete_x0020_Date">
      <xsd:simpleType>
        <xsd:restriction base="dms:DateTime"/>
      </xsd:simpleType>
    </xsd:element>
    <xsd:element name="LARA_x0020_Status" ma:index="5" nillable="true" ma:displayName="LARA Status" ma:default="Active" ma:format="Dropdown" ma:internalName="LARA_x0020_Status">
      <xsd:simpleType>
        <xsd:restriction base="dms:Choice">
          <xsd:enumeration value="Active"/>
          <xsd:enumeration value="Inactive"/>
        </xsd:restriction>
      </xsd:simpleType>
    </xsd:element>
    <xsd:element name="Filing_x0020_Date" ma:index="6" nillable="true" ma:displayName="AUC Registration Date" ma:format="DateOnly" ma:internalName="Filing_x0020_Date">
      <xsd:simpleType>
        <xsd:restriction base="dms:DateTime"/>
      </xsd:simpleType>
    </xsd:element>
    <xsd:element name="TaxCatchAll" ma:index="10" nillable="true" ma:displayName="Taxonomy Catch All Column" ma:hidden="true" ma:list="4eea8045-af52-47fb-8910-5a8a46b38f49" ma:internalName="TaxCatchAll" ma:showField="CatchAllData" ma:web="650fffc6-a86a-4844-afad-966e4497fd3d">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4eea8045-af52-47fb-8910-5a8a46b38f49" ma:internalName="TaxCatchAllLabel" ma:readOnly="true" ma:showField="CatchAllDataLabel" ma:web="650fffc6-a86a-4844-afad-966e4497fd3d">
      <xsd:complexType>
        <xsd:complexContent>
          <xsd:extension base="dms:MultiChoiceLookup">
            <xsd:sequence>
              <xsd:element name="Value" type="dms:Lookup" maxOccurs="unbounded" minOccurs="0" nillable="true"/>
            </xsd:sequence>
          </xsd:extension>
        </xsd:complexContent>
      </xsd:complexType>
    </xsd:element>
    <xsd:element name="fdc7710463144dc19a8992998d0907da" ma:index="18" nillable="true" ma:taxonomy="true" ma:internalName="fdc7710463144dc19a8992998d0907da" ma:taxonomyFieldName="Confidentiality_x0020_Classification" ma:displayName="Confidentiality Classification" ma:default="1271;#AESO Internal|fe2129cc-e616-4c1e-9a39-b6921e014562" ma:fieldId="{fdc77104-6314-4dc1-9a89-92998d0907da}" ma:sspId="93371fdb-7bec-4d52-adeb-1166efac0023" ma:termSetId="86da2f9e-e637-434c-a22c-d8de590d1e93" ma:anchorId="00000000-0000-0000-0000-000000000000" ma:open="false" ma:isKeyword="false">
      <xsd:complexType>
        <xsd:sequence>
          <xsd:element ref="pc:Terms" minOccurs="0" maxOccurs="1"/>
        </xsd:sequence>
      </xsd:complex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74c417c636446b2936ee46a3b1dd71d" ma:index="26" nillable="true" ma:taxonomy="true" ma:internalName="o74c417c636446b2936ee46a3b1dd71d" ma:taxonomyFieldName="LARA_x0020_Category0" ma:displayName="LARA Category" ma:default="" ma:fieldId="{874c417c-6364-46b2-936e-e46a3b1dd71d}" ma:sspId="93371fdb-7bec-4d52-adeb-1166efac0023" ma:termSetId="2637bfa7-984d-4f49-a627-0ad3095dbdc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50fffc6-a86a-4844-afad-966e4497fd3d" elementFormDefault="qualified">
    <xsd:import namespace="http://schemas.microsoft.com/office/2006/documentManagement/types"/>
    <xsd:import namespace="http://schemas.microsoft.com/office/infopath/2007/PartnerControls"/>
    <xsd:element name="CWRMItemRecordState" ma:index="7" nillable="true" ma:displayName="Record State" ma:description="The current state of this item as it pertains to records management." ma:hidden="true" ma:internalName="CWRMItemRecordState" ma:readOnly="true">
      <xsd:simpleType>
        <xsd:restriction base="dms:Text"/>
      </xsd:simpleType>
    </xsd:element>
    <xsd:element name="CWRMItemRecordCategory" ma:index="8" nillable="true" ma:displayName="Record Category" ma:description="Identifies the current record category for the item." ma:hidden="true" ma:internalName="CWRMItemRecordCategory" ma:readOnly="true">
      <xsd:simpleType>
        <xsd:restriction base="dms:Text"/>
      </xsd:simpleType>
    </xsd:element>
    <xsd:element name="e94be97ffb024deb9c3d6d978a059d35" ma:index="9" nillable="true" ma:taxonomy="true" ma:internalName="CWRMItemRecordClassificationTaxHTField0" ma:taxonomyFieldName="CWRMItemRecordClassification" ma:displayName="Record Classification" ma:fieldId="{e94be97f-fb02-4deb-9c3d-6d978a059d35}" ma:sspId="93371fdb-7bec-4d52-adeb-1166efac0023" ma:termSetId="cdfcbdf3-8cad-4f84-bedc-a05c42b6c044" ma:anchorId="00000000-0000-0000-0000-000000000000" ma:open="false" ma:isKeyword="false">
      <xsd:complexType>
        <xsd:sequence>
          <xsd:element ref="pc:Terms" minOccurs="0" maxOccurs="1"/>
        </xsd:sequence>
      </xsd:complexType>
    </xsd:element>
    <xsd:element name="CWRMItemRecordStatus" ma:index="13" nillable="true" ma:displayName="Record Status" ma:description="The current status of this item as it pertains to records management." ma:hidden="true" ma:internalName="CWRMItemRecordStatus" ma:readOnly="true">
      <xsd:simpleType>
        <xsd:restriction base="dms:Text"/>
      </xsd:simpleType>
    </xsd:element>
    <xsd:element name="CWRMItemRecordDeclaredDate" ma:index="14" nillable="true" ma:displayName="Record Declared Date" ma:description="The date and time that the item was declared a record." ma:hidden="true" ma:internalName="CWRMItemRecordDeclaredDate" ma:readOnly="true">
      <xsd:simpleType>
        <xsd:restriction base="dms:DateTime"/>
      </xsd:simpleType>
    </xsd:element>
    <xsd:element name="CWRMItemRecordVital" ma:index="15" nillable="true" ma:displayName="Record Vital" ma:description="Indicates if this item is considered vital to the organization." ma:hidden="true" ma:internalName="CWRMItemRecordVital" ma:readOnly="true">
      <xsd:simpleType>
        <xsd:restriction base="dms:Boolean"/>
      </xsd:simpleType>
    </xsd:element>
    <xsd:element name="CWRMItemRecordData" ma:index="16" nillable="true" ma:displayName="Record Data" ma:description="Contains system specific record data for the item." ma:hidden="true" ma:internalName="CWRMItemRecordData">
      <xsd:simpleType>
        <xsd:restriction base="dms:Note"/>
      </xsd:simpleType>
    </xsd:element>
    <xsd:element name="CWRMItemUniqueId" ma:index="25" nillable="true" ma:displayName="Content ID" ma:description="A universally unique identifier assigned to the item." ma:hidden="true" ma:internalName="CWRMItemUnique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74a12c-cb96-46c0-a01b-e4d7e8d40966"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CWRMItemRecordCategory xmlns="650fffc6-a86a-4844-afad-966e4497fd3d" xsi:nil="true"/>
    <CWRMItemRecordState xmlns="650fffc6-a86a-4844-afad-966e4497fd3d" xsi:nil="true"/>
    <CWRMItemRecordDeclaredDate xmlns="650fffc6-a86a-4844-afad-966e4497fd3d" xsi:nil="true"/>
    <_dlc_DocId xmlns="bfc2574c-8110-4e43-9784-1ee86de75c6c">000000PY6P</_dlc_DocId>
    <TaxCatchAll xmlns="bfc2574c-8110-4e43-9784-1ee86de75c6c">
      <Value>1321</Value>
      <Value>1271</Value>
      <Value>1348</Value>
    </TaxCatchAll>
    <e94be97ffb024deb9c3d6d978a059d35 xmlns="650fffc6-a86a-4844-afad-966e4497fd3d">
      <Terms xmlns="http://schemas.microsoft.com/office/infopath/2007/PartnerControls">
        <TermInfo xmlns="http://schemas.microsoft.com/office/infopath/2007/PartnerControls">
          <TermName xmlns="http://schemas.microsoft.com/office/infopath/2007/PartnerControls">REG-00 - Tariff Development and Application Administration</TermName>
          <TermId xmlns="http://schemas.microsoft.com/office/infopath/2007/PartnerControls">a0f21eea-a95c-4984-bbc5-f702b4b89e29</TermId>
        </TermInfo>
      </Terms>
    </e94be97ffb024deb9c3d6d978a059d35>
    <CWRMItemRecordVital xmlns="650fffc6-a86a-4844-afad-966e4497fd3d">false</CWRMItemRecordVital>
    <Filing_x0020_Date xmlns="bfc2574c-8110-4e43-9784-1ee86de75c6c" xsi:nil="true"/>
    <CWRMItemRecordStatus xmlns="650fffc6-a86a-4844-afad-966e4497fd3d" xsi:nil="true"/>
    <o74c417c636446b2936ee46a3b1dd71d xmlns="bfc2574c-8110-4e43-9784-1ee86de75c6c">
      <Terms xmlns="http://schemas.microsoft.com/office/infopath/2007/PartnerControls">
        <TermInfo xmlns="http://schemas.microsoft.com/office/infopath/2007/PartnerControls">
          <TermName xmlns="http://schemas.microsoft.com/office/infopath/2007/PartnerControls">Stakeholder Engagement</TermName>
          <TermId xmlns="http://schemas.microsoft.com/office/infopath/2007/PartnerControls">6220e8f1-840d-40ad-b65f-2194c8e12464</TermId>
        </TermInfo>
      </Terms>
    </o74c417c636446b2936ee46a3b1dd71d>
    <CWRMItemRecordData xmlns="650fffc6-a86a-4844-afad-966e4497fd3d">&lt;?xml version="1.0" encoding="utf-16"?&gt;&lt;RecordData xmlns:xsd="http://www.w3.org/2001/XMLSchema" xmlns:xsi="http://www.w3.org/2001/XMLSchema-instance" CurrentCategoryId="00000000-0000-0000-0000-000000000000" CurrentPolicyId="00000000-0000-0000-0000-000000000000" CurrentStageId="00000000-0000-0000-0000-000000000000" ExecuteStageImmediately="false" IsMovingPhysical="false" IsProcessing="false" OriginalCreatedDate="0001-01-01T00:00:00" OriginalModifiedDate="0001-01-01T00:00:00" ObsoleteDate="0001-01-01T00:00:00" ForceCrawl="false" DocumentSetSyncCount="0" IsPoliciesProcessed="true"&gt;&lt;LastProcessedStageId&gt;00000000-0000-0000-0000-000000000000&lt;/LastProcessedStageId&gt;&lt;LastProcessedDateValue xsi:type="xsd:dateTime"&gt;0001-01-01T00:00:00&lt;/LastProcessedDateValue&gt;&lt;SupersededInPlaceItems /&gt;&lt;AssociatedAggregates /&gt;&lt;/RecordData&gt;</CWRMItemRecordData>
    <Activity_x0020_Complete_x0020_Date xmlns="bfc2574c-8110-4e43-9784-1ee86de75c6c" xsi:nil="true"/>
    <_dlc_DocIdUrl xmlns="bfc2574c-8110-4e43-9784-1ee86de75c6c">
      <Url>https://share.aeso.ca/sites/records-law/LARA/_layouts/15/DocIdRedir.aspx?ID=000000PY6P</Url>
      <Description>000000PY6P</Description>
    </_dlc_DocIdUrl>
    <fdc7710463144dc19a8992998d0907da xmlns="bfc2574c-8110-4e43-9784-1ee86de75c6c">
      <Terms xmlns="http://schemas.microsoft.com/office/infopath/2007/PartnerControls">
        <TermInfo xmlns="http://schemas.microsoft.com/office/infopath/2007/PartnerControls">
          <TermName xmlns="http://schemas.microsoft.com/office/infopath/2007/PartnerControls">AESO Internal</TermName>
          <TermId xmlns="http://schemas.microsoft.com/office/infopath/2007/PartnerControls">fe2129cc-e616-4c1e-9a39-b6921e014562</TermId>
        </TermInfo>
      </Terms>
    </fdc7710463144dc19a8992998d0907da>
    <LARA_x0020_Status xmlns="bfc2574c-8110-4e43-9784-1ee86de75c6c">Active</LARA_x0020_Status>
    <CWRMItemUniqueId xmlns="650fffc6-a86a-4844-afad-966e4497fd3d">000000PY6P</CWRMItemUniqueId>
  </documentManagement>
</p:properties>
</file>

<file path=customXml/itemProps1.xml><?xml version="1.0" encoding="utf-8"?>
<ds:datastoreItem xmlns:ds="http://schemas.openxmlformats.org/officeDocument/2006/customXml" ds:itemID="{872AB60C-8394-461A-9C9B-2FAD32689A32}"/>
</file>

<file path=customXml/itemProps2.xml><?xml version="1.0" encoding="utf-8"?>
<ds:datastoreItem xmlns:ds="http://schemas.openxmlformats.org/officeDocument/2006/customXml" ds:itemID="{1A7BB172-1345-4AC9-911D-1F00F318C987}"/>
</file>

<file path=customXml/itemProps3.xml><?xml version="1.0" encoding="utf-8"?>
<ds:datastoreItem xmlns:ds="http://schemas.openxmlformats.org/officeDocument/2006/customXml" ds:itemID="{E8CCBB48-E8BE-42FC-BEAF-0F680F77C9F7}"/>
</file>

<file path=customXml/itemProps4.xml><?xml version="1.0" encoding="utf-8"?>
<ds:datastoreItem xmlns:ds="http://schemas.openxmlformats.org/officeDocument/2006/customXml" ds:itemID="{725AC80C-2F7D-422C-BFBF-00B22338CEE9}"/>
</file>

<file path=customXml/itemProps5.xml><?xml version="1.0" encoding="utf-8"?>
<ds:datastoreItem xmlns:ds="http://schemas.openxmlformats.org/officeDocument/2006/customXml" ds:itemID="{A34D36E3-9311-411B-B7FF-28AD8DD6F0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27</vt:i4>
      </vt:variant>
    </vt:vector>
  </HeadingPairs>
  <TitlesOfParts>
    <vt:vector size="37" baseType="lpstr">
      <vt:lpstr>Information </vt:lpstr>
      <vt:lpstr>Annual Summary</vt:lpstr>
      <vt:lpstr>Adjust Load Profile</vt:lpstr>
      <vt:lpstr>Site Data Input</vt:lpstr>
      <vt:lpstr>Year 2020</vt:lpstr>
      <vt:lpstr>Year 2019</vt:lpstr>
      <vt:lpstr>Year 2018</vt:lpstr>
      <vt:lpstr>Year 2017</vt:lpstr>
      <vt:lpstr>Year 2016</vt:lpstr>
      <vt:lpstr>Lookup</vt:lpstr>
      <vt:lpstr>AccountID</vt:lpstr>
      <vt:lpstr>AESOTariff</vt:lpstr>
      <vt:lpstr>ParticipantName</vt:lpstr>
      <vt:lpstr>'Adjust Load Profile'!PreparationDate</vt:lpstr>
      <vt:lpstr>'Annual Summary'!PreparationDate</vt:lpstr>
      <vt:lpstr>'Year 2016'!PreparationDate</vt:lpstr>
      <vt:lpstr>'Year 2017'!PreparationDate</vt:lpstr>
      <vt:lpstr>'Year 2018'!PreparationDate</vt:lpstr>
      <vt:lpstr>'Year 2020'!PreparationDate</vt:lpstr>
      <vt:lpstr>PreparationDate</vt:lpstr>
      <vt:lpstr>'Adjust Load Profile'!PrimaryServiceCredit</vt:lpstr>
      <vt:lpstr>'Annual Summary'!PrimaryServiceCredit</vt:lpstr>
      <vt:lpstr>'Year 2016'!PrimaryServiceCredit</vt:lpstr>
      <vt:lpstr>'Year 2017'!PrimaryServiceCredit</vt:lpstr>
      <vt:lpstr>'Year 2018'!PrimaryServiceCredit</vt:lpstr>
      <vt:lpstr>'Year 2020'!PrimaryServiceCredit</vt:lpstr>
      <vt:lpstr>PrimaryServiceCredit</vt:lpstr>
      <vt:lpstr>'Adjust Load Profile'!Print_Area</vt:lpstr>
      <vt:lpstr>'Annual Summary'!Print_Area</vt:lpstr>
      <vt:lpstr>'Information '!Print_Area</vt:lpstr>
      <vt:lpstr>'Year 2016'!Print_Area</vt:lpstr>
      <vt:lpstr>'Year 2017'!Print_Area</vt:lpstr>
      <vt:lpstr>'Year 2018'!Print_Area</vt:lpstr>
      <vt:lpstr>'Year 2019'!Print_Area</vt:lpstr>
      <vt:lpstr>'Year 2020'!Print_Area</vt:lpstr>
      <vt:lpstr>SiteDescription</vt:lpstr>
      <vt:lpstr>Year_hours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2021-04-06T16:11:09Z</dcterms:created>
  <dcterms:modified xsi:type="dcterms:W3CDTF">2021-04-06T16:11:16Z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lated ADs">
    <vt:lpwstr>1524;#ISO Tariff|d382ca91-b226-4555-b6b0-bf5721fda386</vt:lpwstr>
  </property>
  <property fmtid="{D5CDD505-2E9C-101B-9397-08002B2CF9AE}" pid="3" name="ContentTypeId">
    <vt:lpwstr>0x010100BC84ACA119491D43B8AEA0C41A758E3B0B0600B71823FBBAAF324C862125ECD85A823C</vt:lpwstr>
  </property>
  <property fmtid="{D5CDD505-2E9C-101B-9397-08002B2CF9AE}" pid="4" name="Confidentiality Classification">
    <vt:lpwstr>1271;#AESO Internal|fe2129cc-e616-4c1e-9a39-b6921e014562</vt:lpwstr>
  </property>
  <property fmtid="{D5CDD505-2E9C-101B-9397-08002B2CF9AE}" pid="5" name="MSIP_Label_51a5a3c7-ba38-4976-a2eb-9e02a5c891be_SetDate">
    <vt:lpwstr>2021-03-17T14:43:23Z</vt:lpwstr>
  </property>
  <property fmtid="{D5CDD505-2E9C-101B-9397-08002B2CF9AE}" pid="6" name="ID Category">
    <vt:lpwstr>1816;#Tariff|9d7a0996-ad5f-409c-802b-558da982e99b</vt:lpwstr>
  </property>
  <property fmtid="{D5CDD505-2E9C-101B-9397-08002B2CF9AE}" pid="7" name="MSIP_Label_51a5a3c7-ba38-4976-a2eb-9e02a5c891be_ContentBits">
    <vt:lpwstr>0</vt:lpwstr>
  </property>
  <property fmtid="{D5CDD505-2E9C-101B-9397-08002B2CF9AE}" pid="8" name="_dlc_DocIdItemGuid">
    <vt:lpwstr>281411cf-2394-4383-91ec-033c563940bd</vt:lpwstr>
  </property>
  <property fmtid="{D5CDD505-2E9C-101B-9397-08002B2CF9AE}" pid="9" name="CWRMItemRecordClassification">
    <vt:lpwstr>1321;#REG-00 - Tariff Development and Application Administration|a0f21eea-a95c-4984-bbc5-f702b4b89e29</vt:lpwstr>
  </property>
  <property fmtid="{D5CDD505-2E9C-101B-9397-08002B2CF9AE}" pid="10" name="MSIP_Label_51a5a3c7-ba38-4976-a2eb-9e02a5c891be_Method">
    <vt:lpwstr>Privileged</vt:lpwstr>
  </property>
  <property fmtid="{D5CDD505-2E9C-101B-9397-08002B2CF9AE}" pid="11" name="MSIP_Label_51a5a3c7-ba38-4976-a2eb-9e02a5c891be_Name">
    <vt:lpwstr>Public Protected Document</vt:lpwstr>
  </property>
  <property fmtid="{D5CDD505-2E9C-101B-9397-08002B2CF9AE}" pid="12" name="MSIP_Label_51a5a3c7-ba38-4976-a2eb-9e02a5c891be_SiteId">
    <vt:lpwstr>9869aa0d-ebba-4f8c-9399-7dff7665b1d1</vt:lpwstr>
  </property>
  <property fmtid="{D5CDD505-2E9C-101B-9397-08002B2CF9AE}" pid="13" name="Business Unit(s)">
    <vt:lpwstr/>
  </property>
  <property fmtid="{D5CDD505-2E9C-101B-9397-08002B2CF9AE}" pid="14" name="MSIP_Label_51a5a3c7-ba38-4976-a2eb-9e02a5c891be_ActionId">
    <vt:lpwstr>60edaa1f-0f95-4be4-a87a-81e5ea5619b6</vt:lpwstr>
  </property>
  <property fmtid="{D5CDD505-2E9C-101B-9397-08002B2CF9AE}" pid="15" name="LARA Category0">
    <vt:lpwstr>1348;#Stakeholder Engagement|6220e8f1-840d-40ad-b65f-2194c8e12464</vt:lpwstr>
  </property>
  <property fmtid="{D5CDD505-2E9C-101B-9397-08002B2CF9AE}" pid="16" name="MSIP_Label_51a5a3c7-ba38-4976-a2eb-9e02a5c891be_Enabled">
    <vt:lpwstr>true</vt:lpwstr>
  </property>
</Properties>
</file>