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872DA75D-137B-4503-9B30-896C30FC4AB8}" xr6:coauthVersionLast="45" xr6:coauthVersionMax="45" xr10:uidLastSave="{00000000-0000-0000-0000-000000000000}"/>
  <bookViews>
    <workbookView xWindow="-28920" yWindow="-135" windowWidth="29040" windowHeight="15840" xr2:uid="{AA288C9E-F2F5-4423-91E2-8BBF4128F591}"/>
  </bookViews>
  <sheets>
    <sheet name="Information " sheetId="2" r:id="rId1"/>
    <sheet name="Estimated Rate Calculations" sheetId="1" r:id="rId2"/>
  </sheets>
  <externalReferences>
    <externalReference r:id="rId3"/>
  </externalReferences>
  <definedNames>
    <definedName name="AccountID">'[1]Site Data Input'!$D$2</definedName>
    <definedName name="Applicant">"Alberta Electric System Operator"</definedName>
    <definedName name="Application">"AESO Preferred Rate Design"</definedName>
    <definedName name="ApplicationSection">"Estimated Rate Calculations"</definedName>
    <definedName name="ParticipantName">'[1]Site Data Input'!$B$2</definedName>
    <definedName name="_xlnm.Print_Area" localSheetId="1">'Estimated Rate Calculations'!$A$1:$I$42</definedName>
    <definedName name="_xlnm.Print_Area" localSheetId="0">'Information '!$A$1:$G$48</definedName>
    <definedName name="SiteDescription">'[1]Site Data Input'!$C$2</definedName>
    <definedName name="TableDate">"April 13, 2021"</definedName>
    <definedName name="TableGroup1">"Estimated Rate Calculations"</definedName>
    <definedName name="TablePrefix">"Table "</definedName>
    <definedName name="TableSuffix">""</definedName>
    <definedName name="TotalPages">"1"</definedName>
    <definedName name="Year_hours">[1]Lookup!$B$29:$C$34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5" i="1" l="1"/>
  <c r="T15" i="1"/>
  <c r="S15" i="1"/>
  <c r="R15" i="1"/>
  <c r="Q15" i="1"/>
  <c r="P15" i="1"/>
  <c r="O15" i="1"/>
  <c r="N15" i="1"/>
  <c r="M15" i="1"/>
  <c r="L15" i="1"/>
  <c r="K15" i="1"/>
  <c r="K13" i="1" l="1"/>
  <c r="K16" i="1" s="1"/>
  <c r="R13" i="1" l="1"/>
  <c r="S13" i="1"/>
  <c r="T13" i="1"/>
  <c r="U13" i="1"/>
  <c r="R16" i="1" l="1"/>
  <c r="R18" i="1" s="1"/>
  <c r="U16" i="1"/>
  <c r="U23" i="1" s="1"/>
  <c r="T16" i="1"/>
  <c r="T20" i="1" s="1"/>
  <c r="T33" i="1" s="1"/>
  <c r="S16" i="1"/>
  <c r="S23" i="1" s="1"/>
  <c r="T23" i="1"/>
  <c r="K27" i="1"/>
  <c r="L27" i="1" s="1"/>
  <c r="M27" i="1" s="1"/>
  <c r="N27" i="1" s="1"/>
  <c r="O27" i="1" s="1"/>
  <c r="P27" i="1" s="1"/>
  <c r="Q27" i="1" s="1"/>
  <c r="R27" i="1" s="1"/>
  <c r="S27" i="1" s="1"/>
  <c r="T27" i="1" s="1"/>
  <c r="U27" i="1" s="1"/>
  <c r="K26" i="1"/>
  <c r="L26" i="1" s="1"/>
  <c r="M26" i="1" s="1"/>
  <c r="N26" i="1" s="1"/>
  <c r="O26" i="1" s="1"/>
  <c r="P26" i="1" s="1"/>
  <c r="Q26" i="1" s="1"/>
  <c r="R26" i="1" s="1"/>
  <c r="S26" i="1" s="1"/>
  <c r="T26" i="1" s="1"/>
  <c r="U26" i="1" s="1"/>
  <c r="F24" i="1"/>
  <c r="Q13" i="1"/>
  <c r="P13" i="1"/>
  <c r="O13" i="1"/>
  <c r="I13" i="1"/>
  <c r="H13" i="1"/>
  <c r="K18" i="1"/>
  <c r="J13" i="1"/>
  <c r="A11" i="1"/>
  <c r="A4" i="1"/>
  <c r="A2" i="1"/>
  <c r="A1" i="1"/>
  <c r="J16" i="1" l="1"/>
  <c r="J23" i="1" s="1"/>
  <c r="R20" i="1"/>
  <c r="R33" i="1" s="1"/>
  <c r="R22" i="1"/>
  <c r="R35" i="1" s="1"/>
  <c r="R37" i="1"/>
  <c r="R21" i="1"/>
  <c r="R34" i="1" s="1"/>
  <c r="U22" i="1"/>
  <c r="U35" i="1" s="1"/>
  <c r="U20" i="1"/>
  <c r="R23" i="1"/>
  <c r="S20" i="1"/>
  <c r="S33" i="1" s="1"/>
  <c r="S21" i="1"/>
  <c r="S34" i="1" s="1"/>
  <c r="S22" i="1"/>
  <c r="S35" i="1" s="1"/>
  <c r="S18" i="1"/>
  <c r="O16" i="1"/>
  <c r="O18" i="1" s="1"/>
  <c r="P16" i="1"/>
  <c r="P22" i="1" s="1"/>
  <c r="P35" i="1" s="1"/>
  <c r="T18" i="1"/>
  <c r="U21" i="1"/>
  <c r="U34" i="1" s="1"/>
  <c r="T22" i="1"/>
  <c r="T35" i="1" s="1"/>
  <c r="U18" i="1"/>
  <c r="Q18" i="1"/>
  <c r="Q16" i="1"/>
  <c r="T21" i="1"/>
  <c r="T34" i="1" s="1"/>
  <c r="I16" i="1"/>
  <c r="I18" i="1" s="1"/>
  <c r="H16" i="1"/>
  <c r="H20" i="1" s="1"/>
  <c r="U33" i="1"/>
  <c r="T24" i="1"/>
  <c r="R24" i="1"/>
  <c r="H21" i="1"/>
  <c r="H34" i="1" s="1"/>
  <c r="H23" i="1"/>
  <c r="H22" i="1"/>
  <c r="H35" i="1" s="1"/>
  <c r="L13" i="1"/>
  <c r="A12" i="1"/>
  <c r="A13" i="1" s="1"/>
  <c r="A14" i="1" s="1"/>
  <c r="A15" i="1" s="1"/>
  <c r="A16" i="1" s="1"/>
  <c r="A17" i="1" s="1"/>
  <c r="A18" i="1" s="1"/>
  <c r="A19" i="1" s="1"/>
  <c r="A20" i="1" s="1"/>
  <c r="A21" i="1" s="1"/>
  <c r="A22" i="1" s="1"/>
  <c r="A23" i="1" s="1"/>
  <c r="A24" i="1" s="1"/>
  <c r="M13" i="1"/>
  <c r="N13" i="1"/>
  <c r="S24" i="1"/>
  <c r="J21" i="1"/>
  <c r="J34" i="1" s="1"/>
  <c r="O20" i="1"/>
  <c r="O33" i="1" s="1"/>
  <c r="O22" i="1"/>
  <c r="O35" i="1" s="1"/>
  <c r="K23" i="1"/>
  <c r="K20" i="1"/>
  <c r="K33" i="1" s="1"/>
  <c r="K21" i="1"/>
  <c r="K34" i="1" s="1"/>
  <c r="K22" i="1"/>
  <c r="K35" i="1" s="1"/>
  <c r="Q23" i="1"/>
  <c r="Q22" i="1"/>
  <c r="Q35" i="1" s="1"/>
  <c r="Q21" i="1"/>
  <c r="Q34" i="1" s="1"/>
  <c r="Q20" i="1"/>
  <c r="J18" i="1" l="1"/>
  <c r="O21" i="1"/>
  <c r="O34" i="1" s="1"/>
  <c r="H39" i="1"/>
  <c r="H38" i="1"/>
  <c r="H37" i="1"/>
  <c r="J22" i="1"/>
  <c r="J35" i="1" s="1"/>
  <c r="J20" i="1"/>
  <c r="J33" i="1" s="1"/>
  <c r="T37" i="1"/>
  <c r="T38" i="1"/>
  <c r="T39" i="1"/>
  <c r="O23" i="1"/>
  <c r="K37" i="1"/>
  <c r="K38" i="1"/>
  <c r="K39" i="1"/>
  <c r="U38" i="1"/>
  <c r="U39" i="1"/>
  <c r="U37" i="1"/>
  <c r="Q39" i="1"/>
  <c r="Q37" i="1"/>
  <c r="Q38" i="1"/>
  <c r="P37" i="1"/>
  <c r="R38" i="1"/>
  <c r="S37" i="1"/>
  <c r="S38" i="1"/>
  <c r="S39" i="1"/>
  <c r="O38" i="1"/>
  <c r="O39" i="1"/>
  <c r="O37" i="1"/>
  <c r="R39" i="1"/>
  <c r="P18" i="1"/>
  <c r="P23" i="1"/>
  <c r="P20" i="1"/>
  <c r="P39" i="1" s="1"/>
  <c r="P21" i="1"/>
  <c r="P34" i="1" s="1"/>
  <c r="U24" i="1"/>
  <c r="L16" i="1"/>
  <c r="L18" i="1" s="1"/>
  <c r="N16" i="1"/>
  <c r="N21" i="1" s="1"/>
  <c r="N34" i="1" s="1"/>
  <c r="M16" i="1"/>
  <c r="M21" i="1" s="1"/>
  <c r="M34" i="1" s="1"/>
  <c r="I21" i="1"/>
  <c r="I34" i="1" s="1"/>
  <c r="I20" i="1"/>
  <c r="I23" i="1"/>
  <c r="I22" i="1"/>
  <c r="I35" i="1" s="1"/>
  <c r="H18" i="1"/>
  <c r="A25" i="1"/>
  <c r="K24" i="1"/>
  <c r="J24" i="1"/>
  <c r="O24" i="1"/>
  <c r="H24" i="1"/>
  <c r="H33" i="1"/>
  <c r="Q33" i="1"/>
  <c r="Q24" i="1"/>
  <c r="I33" i="1"/>
  <c r="P33" i="1" l="1"/>
  <c r="P24" i="1"/>
  <c r="J39" i="1"/>
  <c r="J38" i="1"/>
  <c r="J37" i="1"/>
  <c r="P38" i="1"/>
  <c r="I39" i="1"/>
  <c r="I38" i="1"/>
  <c r="I37" i="1"/>
  <c r="L20" i="1"/>
  <c r="L21" i="1"/>
  <c r="L34" i="1" s="1"/>
  <c r="N23" i="1"/>
  <c r="N22" i="1"/>
  <c r="N35" i="1" s="1"/>
  <c r="L22" i="1"/>
  <c r="L35" i="1" s="1"/>
  <c r="M18" i="1"/>
  <c r="M20" i="1"/>
  <c r="M33" i="1" s="1"/>
  <c r="M23" i="1"/>
  <c r="M22" i="1"/>
  <c r="M35" i="1" s="1"/>
  <c r="N18" i="1"/>
  <c r="N20" i="1"/>
  <c r="N33" i="1" s="1"/>
  <c r="L23" i="1"/>
  <c r="L24" i="1" s="1"/>
  <c r="I24" i="1"/>
  <c r="L33" i="1"/>
  <c r="A29" i="1"/>
  <c r="A26" i="1"/>
  <c r="L37" i="1" l="1"/>
  <c r="L38" i="1"/>
  <c r="L39" i="1"/>
  <c r="N38" i="1"/>
  <c r="N39" i="1"/>
  <c r="N37" i="1"/>
  <c r="M38" i="1"/>
  <c r="M39" i="1"/>
  <c r="M37" i="1"/>
  <c r="N24" i="1"/>
  <c r="M24" i="1"/>
  <c r="A27" i="1"/>
  <c r="A31" i="1" s="1"/>
  <c r="A32" i="1" s="1"/>
  <c r="A33" i="1" s="1"/>
  <c r="A34" i="1" s="1"/>
  <c r="A35" i="1" s="1"/>
  <c r="A36" i="1" s="1"/>
  <c r="A30" i="1"/>
  <c r="A28" i="1"/>
  <c r="A37" i="1" l="1"/>
  <c r="A39" i="1" s="1"/>
  <c r="A38" i="1"/>
</calcChain>
</file>

<file path=xl/sharedStrings.xml><?xml version="1.0" encoding="utf-8"?>
<sst xmlns="http://schemas.openxmlformats.org/spreadsheetml/2006/main" count="104" uniqueCount="102">
  <si>
    <t>A</t>
  </si>
  <si>
    <t>B</t>
  </si>
  <si>
    <t>C</t>
  </si>
  <si>
    <t>D</t>
  </si>
  <si>
    <t>E</t>
  </si>
  <si>
    <t>F</t>
  </si>
  <si>
    <t>G</t>
  </si>
  <si>
    <t>Description</t>
  </si>
  <si>
    <t>2019 Test Rates</t>
  </si>
  <si>
    <t>2020 Test Rates</t>
  </si>
  <si>
    <t>2021 Test Rates</t>
  </si>
  <si>
    <t>2022 Test Rates</t>
  </si>
  <si>
    <t>2023 Test Rates</t>
  </si>
  <si>
    <t>2024 Test Rates</t>
  </si>
  <si>
    <t>Total Wires</t>
  </si>
  <si>
    <t>Revenue Offsets</t>
  </si>
  <si>
    <t>Other Revenue Offsets</t>
  </si>
  <si>
    <t>Rate DOS Revenue (estimated)</t>
  </si>
  <si>
    <t>Total Revenue Requirement</t>
  </si>
  <si>
    <t>Bulk System</t>
  </si>
  <si>
    <t>Regional System</t>
  </si>
  <si>
    <t>Energy</t>
  </si>
  <si>
    <t>Point of Delivery</t>
  </si>
  <si>
    <t>Billing Determinants</t>
  </si>
  <si>
    <t>Billing Capacity (MW Months)</t>
  </si>
  <si>
    <t>Rate DTS Energy (MWh)</t>
  </si>
  <si>
    <t>Rate DOS - 7 Minutes Energy (MWh)</t>
  </si>
  <si>
    <t>Rate DOS - 1 Hour Energy (MWh)</t>
  </si>
  <si>
    <t>Rate DOS - Term Energy (MWh)</t>
  </si>
  <si>
    <t>Rate DTS - Bulk and Regional Rates</t>
  </si>
  <si>
    <t>Coincident Demand Charge ($/MW)</t>
  </si>
  <si>
    <t>Billing Capacity Charge ($/MW)</t>
  </si>
  <si>
    <t>Energy Charge ($/MWh)</t>
  </si>
  <si>
    <t>Rate DOS Energy Charge</t>
  </si>
  <si>
    <t>Energy Charge - DOS 7 Minutes ($/MWh)</t>
  </si>
  <si>
    <t>Energy Charge - DOS 1 Hour ($/MWh)</t>
  </si>
  <si>
    <t>Energy Charge - DOS Term ($/MWh)</t>
  </si>
  <si>
    <t>Note:</t>
  </si>
  <si>
    <t>2025 Test Rates</t>
  </si>
  <si>
    <t>2026 Test Rates</t>
  </si>
  <si>
    <t>2027 Test Rates</t>
  </si>
  <si>
    <t>2028 Test Rates</t>
  </si>
  <si>
    <t>2029 Test Rates</t>
  </si>
  <si>
    <t>2030 Test Rates</t>
  </si>
  <si>
    <t>2031 Test Rates</t>
  </si>
  <si>
    <t>2032 Test Rates</t>
  </si>
  <si>
    <t>H</t>
  </si>
  <si>
    <t>I</t>
  </si>
  <si>
    <t>j</t>
  </si>
  <si>
    <t>K</t>
  </si>
  <si>
    <t>L</t>
  </si>
  <si>
    <t>M</t>
  </si>
  <si>
    <t>N</t>
  </si>
  <si>
    <t>O</t>
  </si>
  <si>
    <t>Revenue Requirement ($000 000)</t>
  </si>
  <si>
    <t>Rate Calculations ($000 000)</t>
  </si>
  <si>
    <t>Source: Revenue Requirement</t>
  </si>
  <si>
    <t>Source: Billing Determinants</t>
  </si>
  <si>
    <t>2021 Transmission Rate Projection</t>
  </si>
  <si>
    <t>2021 TRP</t>
  </si>
  <si>
    <t>2021 ISO Tariff Update</t>
  </si>
  <si>
    <t>2020 ISO Tariff Update</t>
  </si>
  <si>
    <t>Latest</t>
  </si>
  <si>
    <r>
      <t>This illustrative tool is not authoritative and is for information purposes only and intended to provide guidance. In the event of any discrepancy between this tool and any authoritative document</t>
    </r>
    <r>
      <rPr>
        <b/>
        <i/>
        <vertAlign val="superscript"/>
        <sz val="11"/>
        <color theme="1"/>
        <rFont val="Arial"/>
        <family val="2"/>
      </rPr>
      <t>1</t>
    </r>
    <r>
      <rPr>
        <b/>
        <i/>
        <sz val="11"/>
        <color theme="1"/>
        <rFont val="Arial"/>
        <family val="2"/>
      </rPr>
      <t> in effect, the authoritative document governs.</t>
    </r>
  </si>
  <si>
    <t>1         Purpose</t>
  </si>
  <si>
    <t>For assistance with this tool and Site Data Input data, please contact the AESO at:</t>
  </si>
  <si>
    <t>tariffdesign@aeso.ca</t>
  </si>
  <si>
    <t>Attachments</t>
  </si>
  <si>
    <t>Revision History</t>
  </si>
  <si>
    <t>Date</t>
  </si>
  <si>
    <t>2021-04-13</t>
  </si>
  <si>
    <t>v 0.1 - Initial release</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</si>
  <si>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</si>
  <si>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</si>
  <si>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</si>
  <si>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</si>
  <si>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</si>
  <si>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2         Use of the Estimating Rate Calculations Tool</t>
  </si>
  <si>
    <t>Estimated Rate Calculations</t>
  </si>
  <si>
    <t>2021 ISO Tariff Update refers to Proceeding - Proceeding 26054 with the AUC</t>
  </si>
  <si>
    <t>2020 ISO Tariff Update refers to Proceeding 25175 with the AUC</t>
  </si>
  <si>
    <t>2021 Transmission Rate Projection refers to the AESO's 2021 Transmission Rate Projection (updated on April 9, 2021) located here on AESO's website: https://www.aeso.ca/grid/transmission-costs/</t>
  </si>
  <si>
    <t>Sources for information are included as Notes on this tab</t>
  </si>
  <si>
    <t>Ancillary Services</t>
  </si>
  <si>
    <t>Other Industry and AESO G&amp;A</t>
  </si>
  <si>
    <t>2019 ISO Tariff Update</t>
  </si>
  <si>
    <t>Revenue Requirement (Subtotal)</t>
  </si>
  <si>
    <t>Total Wires Cost Recovery</t>
  </si>
  <si>
    <r>
      <t>Functionalization Ratio</t>
    </r>
    <r>
      <rPr>
        <vertAlign val="superscript"/>
        <sz val="10"/>
        <rFont val="Arial Narrow"/>
        <family val="2"/>
      </rPr>
      <t>1</t>
    </r>
  </si>
  <si>
    <r>
      <t>Growth Rates</t>
    </r>
    <r>
      <rPr>
        <vertAlign val="superscript"/>
        <sz val="10"/>
        <rFont val="Arial Narrow"/>
        <family val="2"/>
      </rPr>
      <t>2</t>
    </r>
  </si>
  <si>
    <r>
      <t>Estimated DOS Rate</t>
    </r>
    <r>
      <rPr>
        <vertAlign val="superscript"/>
        <sz val="10"/>
        <rFont val="Arial Narrow"/>
        <family val="2"/>
      </rPr>
      <t>4</t>
    </r>
  </si>
  <si>
    <r>
      <rPr>
        <vertAlign val="superscript"/>
        <sz val="10"/>
        <rFont val="Arial Narrow"/>
        <family val="2"/>
      </rPr>
      <t>1</t>
    </r>
    <r>
      <rPr>
        <sz val="10"/>
        <rFont val="Arial Narrow"/>
        <family val="2"/>
      </rPr>
      <t xml:space="preserve"> Functionalization Ratios as presented in AESO's Preferred Rate Design - March 25, 2021</t>
    </r>
  </si>
  <si>
    <r>
      <t xml:space="preserve"> Coincident Metered Demand (MW Months)</t>
    </r>
    <r>
      <rPr>
        <vertAlign val="superscript"/>
        <sz val="10"/>
        <rFont val="Arial Narrow"/>
        <family val="2"/>
      </rPr>
      <t>3</t>
    </r>
  </si>
  <si>
    <r>
      <rPr>
        <vertAlign val="superscript"/>
        <sz val="10"/>
        <rFont val="Arial Narrow"/>
        <family val="2"/>
      </rPr>
      <t>2</t>
    </r>
    <r>
      <rPr>
        <sz val="10"/>
        <rFont val="Arial Narrow"/>
        <family val="2"/>
      </rPr>
      <t xml:space="preserve"> Historical 5-Year growth rates for coincident metered demand and billing capacity are included. These values can be adjusted to illustrate impact on rates</t>
    </r>
  </si>
  <si>
    <r>
      <rPr>
        <vertAlign val="superscript"/>
        <sz val="10"/>
        <rFont val="Arial Narrow"/>
        <family val="2"/>
      </rPr>
      <t>3</t>
    </r>
    <r>
      <rPr>
        <sz val="10"/>
        <rFont val="Arial Narrow"/>
        <family val="2"/>
      </rPr>
      <t xml:space="preserve"> Coincident Metered Demand is not adjusted to reflect 5 Year Average 12CP as described in the 5-Year Average 12CP Illustrative Tool</t>
    </r>
  </si>
  <si>
    <r>
      <rPr>
        <vertAlign val="superscript"/>
        <sz val="10"/>
        <rFont val="Arial Narrow"/>
        <family val="2"/>
      </rPr>
      <t>4</t>
    </r>
    <r>
      <rPr>
        <sz val="10"/>
        <rFont val="Arial Narrow"/>
        <family val="2"/>
      </rPr>
      <t xml:space="preserve"> Estimated DOS Rate - As Rate DOS revenue is an offset to revenue requirement but DOS Rates calculations also rely on revenue requirement calculations, there is iterative calculations required for accuracy. For simplicity and estimation purposes, adjust this value to allow DOS revenue offset to be calculated in Rate DTS calculations</t>
    </r>
  </si>
  <si>
    <r>
      <t>Estimated (see Growth Rates</t>
    </r>
    <r>
      <rPr>
        <vertAlign val="superscript"/>
        <sz val="10"/>
        <rFont val="Arial Narrow"/>
        <family val="2"/>
      </rPr>
      <t>2</t>
    </r>
    <r>
      <rPr>
        <sz val="10"/>
        <rFont val="Arial Narrow"/>
        <family val="2"/>
      </rPr>
      <t xml:space="preserve"> below)</t>
    </r>
  </si>
  <si>
    <t>This tab includes future estimates of rate calculations resulting from changes to the Bulk and Regional cost recovery functionalization (Column A and Lines 7 through 9)</t>
  </si>
  <si>
    <t>This illustrative tool is intended to allow stakeholders to review an estimate of future rates under the AESO's Preferred Rate Design (described in the AESO's Bulk and Regional Tariff Design Stakeholder Engagement Session 5 published on March 18, 2021 and presented in the corresponding AESO's Stakeholder Session 5 on March 25, 2021, and Technical Session II) by adjusting billing determinants and revenue requirement.</t>
  </si>
  <si>
    <r>
      <t xml:space="preserve">The description and explanations in this illustrative tool provide example calculations under the Preferred Rate Design only. The AESO calculates certain actual charges on an hourly basis rather than on average annual amounts, and </t>
    </r>
    <r>
      <rPr>
        <b/>
        <i/>
        <sz val="10"/>
        <rFont val="Arial"/>
        <family val="2"/>
      </rPr>
      <t>actual charges under any future tariff design will differ from the estimated amounts presented in this illustrative tool due to actual inputs differing from these estimates</t>
    </r>
    <r>
      <rPr>
        <i/>
        <sz val="10"/>
        <rFont val="Arial"/>
        <family val="2"/>
      </rPr>
      <t>.</t>
    </r>
  </si>
  <si>
    <t>Estimated Rate Calculations - Calculates an estimate of rates based on estimated revenue requirement and billing determinants</t>
  </si>
  <si>
    <t>This section describes how stakeholders may use the illustrative tool to understand an estimate of future impacts of the AESO's Preferred Rate Design. The calculations included here are in summary form. Detailed rate calculations to determine actual charges applied for to the Alberta Utilities Commission will be in a longer format, similar to the Rates Calculations spreadsheets filed in every ISO tariff update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</si>
</sst>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1" formatCode="_(* #,##0_);_(* \(#,##0\);_(* &quot;-&quot;_);_(@_)"/>
    <numFmt numFmtId="43" formatCode="_(* #,##0.00_);_(* \(#,##0.00\);_(* &quot;-&quot;??_);_(@_)"/>
    <numFmt numFmtId="164" formatCode="_-* #,##0.0_-;\-* #,##0.0_-;_-* &quot;-&quot;?_-;_-@_-"/>
    <numFmt numFmtId="165" formatCode="?#"/>
    <numFmt numFmtId="166" formatCode="_(&quot;$&quot;* #,##0.0_);_(&quot;$&quot;* \(#,##0.0\);_(&quot;$&quot;* &quot;-&quot;?_);_(@_)"/>
    <numFmt numFmtId="167" formatCode="_-&quot;$&quot;* #,##0.0_-;\-&quot;$&quot;* #,##0.0_-;_-&quot;$&quot;* &quot;-&quot;_-;_-@_-"/>
    <numFmt numFmtId="168" formatCode="0%_);\(0%\);&quot;-&quot;_%_)"/>
    <numFmt numFmtId="169" formatCode="0.0%_);\(0.0%\);&quot;-&quot;_%_)"/>
    <numFmt numFmtId="170" formatCode="_-* #,##0.000000_-;\-* #,##0.000000_-;_-* &quot;-&quot;?_-;_-@_-"/>
    <numFmt numFmtId="171" formatCode="0.0%"/>
    <numFmt numFmtId="172" formatCode="_(* #,##0.0_);_(* \(#,##0.0\);_(* &quot;-&quot;?_);_(@_)"/>
    <numFmt numFmtId="173" formatCode="0.00%_);\(0.00%\);&quot;-&quot;_%_)"/>
    <numFmt numFmtId="174" formatCode="_(* #,##0.0_);_(* \(#,##0.0\);_(* &quot;-&quot;_);_(@_)"/>
    <numFmt numFmtId="175" formatCode="_(* #,##0.0_);_(* \(#,##0.0\);_(* &quot;-&quot;??_);_(@_)"/>
    <numFmt numFmtId="176" formatCode="_(&quot;$&quot;* #,##0.00_);_(&quot;$&quot;* \(#,##0.00\);_(&quot;$&quot;* &quot;-&quot;?_);_(@_)"/>
    <numFmt numFmtId="177" formatCode="_-&quot;$&quot;* #,##0_-;\-&quot;$&quot;* #,##0_-;_-&quot;$&quot;* &quot;-&quot;_-;_-@_-"/>
    <numFmt numFmtId="178" formatCode="_(&quot;$&quot;* #,##0_);_(&quot;$&quot;* \(#,##0\);_(&quot;$&quot;* &quot;-&quot;?_);_(@_)"/>
  </numFmts>
  <fonts count="25" x14ac:knownFonts="1">
    <font>
      <sz val="10"/>
      <name val="Arial Narrow"/>
      <family val="2"/>
    </font>
    <font>
      <sz val="11"/>
      <color theme="1"/>
      <name val="Calibri"/>
      <family val="2"/>
      <scheme val="minor"/>
    </font>
    <font>
      <sz val="10"/>
      <name val="Arial Narrow"/>
      <family val="2"/>
    </font>
    <font>
      <b/>
      <sz val="10"/>
      <name val="Arial"/>
      <family val="2"/>
    </font>
    <font>
      <b/>
      <sz val="10"/>
      <name val="Arial Narrow"/>
      <family val="2"/>
    </font>
    <font>
      <sz val="10"/>
      <name val="Arial"/>
      <family val="2"/>
    </font>
    <font>
      <sz val="10"/>
      <name val="Book Antiqua"/>
      <family val="1"/>
    </font>
    <font>
      <sz val="10"/>
      <color theme="0" tint="-0.499984740745262"/>
      <name val="Arial Narrow"/>
      <family val="2"/>
    </font>
    <font>
      <sz val="8"/>
      <name val="Arial Narrow"/>
      <family val="2"/>
    </font>
    <font>
      <b/>
      <i/>
      <sz val="11"/>
      <color theme="1"/>
      <name val="Arial"/>
      <family val="2"/>
    </font>
    <font>
      <b/>
      <i/>
      <vertAlign val="superscript"/>
      <sz val="11"/>
      <color theme="1"/>
      <name val="Arial"/>
      <family val="2"/>
    </font>
    <font>
      <sz val="8"/>
      <name val="Arial"/>
      <family val="2"/>
    </font>
    <font>
      <b/>
      <sz val="12"/>
      <color indexed="18"/>
      <name val="Arial"/>
      <family val="2"/>
    </font>
    <font>
      <b/>
      <sz val="10"/>
      <color indexed="18"/>
      <name val="Arial"/>
      <family val="2"/>
    </font>
    <font>
      <sz val="4"/>
      <name val="Arial"/>
      <family val="2"/>
    </font>
    <font>
      <b/>
      <i/>
      <sz val="10"/>
      <name val="Arial"/>
      <family val="2"/>
    </font>
    <font>
      <i/>
      <sz val="10"/>
      <name val="Arial"/>
      <family val="2"/>
    </font>
    <font>
      <sz val="7"/>
      <name val="Arial"/>
      <family val="2"/>
    </font>
    <font>
      <b/>
      <i/>
      <sz val="10"/>
      <color indexed="18"/>
      <name val="Arial"/>
      <family val="2"/>
    </font>
    <font>
      <b/>
      <i/>
      <sz val="13"/>
      <color indexed="18"/>
      <name val="Arial"/>
      <family val="2"/>
    </font>
    <font>
      <u/>
      <sz val="10"/>
      <color theme="10"/>
      <name val="Arial"/>
      <family val="2"/>
    </font>
    <font>
      <sz val="9"/>
      <name val="Arial"/>
      <family val="2"/>
    </font>
    <font>
      <vertAlign val="superscript"/>
      <sz val="9"/>
      <name val="Arial"/>
      <family val="2"/>
    </font>
    <font>
      <i/>
      <sz val="9"/>
      <name val="Arial"/>
      <family val="2"/>
    </font>
    <font>
      <vertAlign val="superscript"/>
      <sz val="10"/>
      <name val="Arial Narrow"/>
      <family val="2"/>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7">
    <border>
      <left/>
      <right/>
      <top/>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164" fontId="0" fillId="0" borderId="0"/>
    <xf numFmtId="43" fontId="5" fillId="0" borderId="0" applyFont="0" applyFill="0" applyBorder="0" applyAlignment="0" applyProtection="0"/>
    <xf numFmtId="166" fontId="4" fillId="0" borderId="0" applyFont="0" applyBorder="0" applyAlignment="0">
      <alignment vertical="center"/>
    </xf>
    <xf numFmtId="168"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1" fillId="0" borderId="0"/>
    <xf numFmtId="0" fontId="12" fillId="0" borderId="0"/>
    <xf numFmtId="0" fontId="18" fillId="0" borderId="0">
      <alignment vertical="top"/>
    </xf>
    <xf numFmtId="0" fontId="20" fillId="0" borderId="0" applyNumberFormat="0" applyFill="0" applyBorder="0" applyAlignment="0" applyProtection="0"/>
    <xf numFmtId="0" fontId="5" fillId="0" borderId="0"/>
    <xf numFmtId="0" fontId="5" fillId="0" borderId="0"/>
  </cellStyleXfs>
  <cellXfs count="93">
    <xf numFmtId="164" fontId="0" fillId="0" borderId="0" xfId="0"/>
    <xf numFmtId="164" fontId="3" fillId="0" borderId="0" xfId="0" applyFont="1"/>
    <xf numFmtId="164" fontId="2" fillId="0" borderId="0" xfId="0" applyFont="1"/>
    <xf numFmtId="0" fontId="3" fillId="0" borderId="0" xfId="0" applyNumberFormat="1" applyFont="1" applyAlignment="1">
      <alignment horizontal="centerContinuous"/>
    </xf>
    <xf numFmtId="164" fontId="3" fillId="0" borderId="0" xfId="0" applyFont="1" applyAlignment="1">
      <alignment horizontal="centerContinuous"/>
    </xf>
    <xf numFmtId="164" fontId="2" fillId="0" borderId="0" xfId="0" applyFont="1" applyAlignment="1">
      <alignment horizontal="center"/>
    </xf>
    <xf numFmtId="0" fontId="0" fillId="0" borderId="0" xfId="0" applyNumberFormat="1"/>
    <xf numFmtId="0" fontId="0" fillId="0" borderId="0" xfId="0" applyNumberFormat="1" applyAlignment="1">
      <alignment horizontal="center"/>
    </xf>
    <xf numFmtId="0" fontId="2" fillId="0" borderId="1" xfId="0" applyNumberFormat="1" applyFont="1" applyBorder="1" applyAlignment="1">
      <alignment horizontal="center" wrapText="1"/>
    </xf>
    <xf numFmtId="0" fontId="2" fillId="0" borderId="0" xfId="0" applyNumberFormat="1" applyFont="1" applyAlignment="1">
      <alignment horizontal="center"/>
    </xf>
    <xf numFmtId="0" fontId="2" fillId="0" borderId="1" xfId="0" applyNumberFormat="1" applyFont="1" applyBorder="1" applyAlignment="1">
      <alignment horizontal="centerContinuous"/>
    </xf>
    <xf numFmtId="0" fontId="0" fillId="0" borderId="1" xfId="0" applyNumberFormat="1" applyBorder="1" applyAlignment="1">
      <alignment horizontal="center" wrapText="1"/>
    </xf>
    <xf numFmtId="165" fontId="0" fillId="0" borderId="0" xfId="0" applyNumberFormat="1" applyAlignment="1">
      <alignment horizontal="center"/>
    </xf>
    <xf numFmtId="164" fontId="4" fillId="0" borderId="0" xfId="0" applyFont="1"/>
    <xf numFmtId="167" fontId="4" fillId="0" borderId="0" xfId="2" applyNumberFormat="1" applyFont="1" applyAlignment="1"/>
    <xf numFmtId="169" fontId="2" fillId="0" borderId="0" xfId="3" applyNumberFormat="1" applyFont="1" applyFill="1" applyAlignment="1"/>
    <xf numFmtId="170" fontId="0" fillId="0" borderId="0" xfId="0" applyNumberFormat="1"/>
    <xf numFmtId="171" fontId="6" fillId="0" borderId="0" xfId="4" applyNumberFormat="1" applyFont="1"/>
    <xf numFmtId="172" fontId="2" fillId="0" borderId="0" xfId="2" applyNumberFormat="1" applyFont="1" applyAlignment="1"/>
    <xf numFmtId="165" fontId="0" fillId="0" borderId="0" xfId="0" applyNumberFormat="1" applyAlignment="1">
      <alignment horizontal="center" vertical="top"/>
    </xf>
    <xf numFmtId="164" fontId="0" fillId="0" borderId="0" xfId="0" applyAlignment="1">
      <alignment vertical="top"/>
    </xf>
    <xf numFmtId="164" fontId="4" fillId="0" borderId="0" xfId="0" applyFont="1" applyAlignment="1">
      <alignment vertical="top"/>
    </xf>
    <xf numFmtId="169" fontId="4" fillId="0" borderId="2" xfId="3" applyNumberFormat="1" applyFont="1" applyBorder="1" applyAlignment="1">
      <alignment vertical="top"/>
    </xf>
    <xf numFmtId="173" fontId="0" fillId="0" borderId="0" xfId="3" applyNumberFormat="1" applyFont="1" applyAlignment="1">
      <alignment vertical="top"/>
    </xf>
    <xf numFmtId="164" fontId="7" fillId="0" borderId="0" xfId="0" applyFont="1"/>
    <xf numFmtId="169" fontId="7" fillId="0" borderId="0" xfId="3" applyNumberFormat="1" applyFont="1" applyFill="1" applyAlignment="1"/>
    <xf numFmtId="167" fontId="2" fillId="0" borderId="0" xfId="2" applyNumberFormat="1" applyFont="1" applyBorder="1" applyAlignment="1"/>
    <xf numFmtId="174" fontId="2" fillId="0" borderId="0" xfId="2" applyNumberFormat="1" applyFont="1" applyBorder="1" applyAlignment="1"/>
    <xf numFmtId="0" fontId="0" fillId="0" borderId="0" xfId="0" applyNumberFormat="1" applyAlignment="1">
      <alignment vertical="center"/>
    </xf>
    <xf numFmtId="175" fontId="2" fillId="0" borderId="0" xfId="1" applyNumberFormat="1" applyFont="1" applyFill="1" applyBorder="1" applyAlignment="1">
      <alignment horizontal="left"/>
    </xf>
    <xf numFmtId="176" fontId="2" fillId="0" borderId="0" xfId="2" applyNumberFormat="1" applyFont="1" applyAlignment="1"/>
    <xf numFmtId="41" fontId="2" fillId="0" borderId="0" xfId="1" applyNumberFormat="1" applyFont="1" applyFill="1" applyBorder="1" applyAlignment="1">
      <alignment horizontal="right"/>
    </xf>
    <xf numFmtId="164" fontId="7" fillId="2" borderId="0" xfId="0" applyFont="1" applyFill="1"/>
    <xf numFmtId="6" fontId="2" fillId="2" borderId="0" xfId="1" applyNumberFormat="1" applyFont="1" applyFill="1" applyBorder="1" applyAlignment="1">
      <alignment horizontal="right"/>
    </xf>
    <xf numFmtId="0" fontId="5" fillId="0" borderId="0" xfId="6"/>
    <xf numFmtId="0" fontId="11" fillId="0" borderId="0" xfId="7"/>
    <xf numFmtId="0" fontId="13" fillId="0" borderId="0" xfId="8" applyFont="1"/>
    <xf numFmtId="0" fontId="12" fillId="0" borderId="0" xfId="8"/>
    <xf numFmtId="0" fontId="14" fillId="0" borderId="0" xfId="7" applyFont="1"/>
    <xf numFmtId="0" fontId="5" fillId="0" borderId="0" xfId="6" applyAlignment="1">
      <alignment horizontal="left"/>
    </xf>
    <xf numFmtId="0" fontId="17" fillId="0" borderId="0" xfId="7" applyFont="1"/>
    <xf numFmtId="0" fontId="19" fillId="0" borderId="0" xfId="9" applyFont="1">
      <alignment vertical="top"/>
    </xf>
    <xf numFmtId="0" fontId="18" fillId="0" borderId="0" xfId="9">
      <alignment vertical="top"/>
    </xf>
    <xf numFmtId="0" fontId="3" fillId="0" borderId="0" xfId="6" applyFont="1"/>
    <xf numFmtId="0" fontId="20" fillId="0" borderId="0" xfId="10"/>
    <xf numFmtId="0" fontId="5" fillId="0" borderId="0" xfId="11"/>
    <xf numFmtId="0" fontId="16" fillId="0" borderId="0" xfId="6" applyFont="1"/>
    <xf numFmtId="0" fontId="5" fillId="0" borderId="0" xfId="12"/>
    <xf numFmtId="0" fontId="14" fillId="0" borderId="0" xfId="12" applyFont="1"/>
    <xf numFmtId="0" fontId="5" fillId="0" borderId="0" xfId="6" applyAlignment="1">
      <alignment vertical="center"/>
    </xf>
    <xf numFmtId="0" fontId="3" fillId="0" borderId="3" xfId="6" applyFont="1" applyBorder="1" applyAlignment="1">
      <alignment horizontal="center" vertical="center"/>
    </xf>
    <xf numFmtId="0" fontId="3" fillId="0" borderId="4" xfId="6" applyFont="1" applyBorder="1" applyAlignment="1">
      <alignment horizontal="left" vertical="center"/>
    </xf>
    <xf numFmtId="0" fontId="3" fillId="0" borderId="5" xfId="6" applyFont="1" applyBorder="1" applyAlignment="1">
      <alignment horizontal="centerContinuous" vertical="center"/>
    </xf>
    <xf numFmtId="0" fontId="3" fillId="0" borderId="6" xfId="6" applyFont="1" applyBorder="1" applyAlignment="1">
      <alignment horizontal="centerContinuous" vertical="center"/>
    </xf>
    <xf numFmtId="14" fontId="5" fillId="0" borderId="3" xfId="6" quotePrefix="1" applyNumberFormat="1" applyBorder="1" applyAlignment="1">
      <alignment vertical="center"/>
    </xf>
    <xf numFmtId="0" fontId="5" fillId="0" borderId="4" xfId="6" applyBorder="1" applyAlignment="1">
      <alignment horizontal="left" vertical="center"/>
    </xf>
    <xf numFmtId="0" fontId="5" fillId="0" borderId="5" xfId="6" applyBorder="1" applyAlignment="1">
      <alignment horizontal="left" vertical="center"/>
    </xf>
    <xf numFmtId="0" fontId="5" fillId="0" borderId="6" xfId="6" applyBorder="1" applyAlignment="1">
      <alignment horizontal="left" vertical="center"/>
    </xf>
    <xf numFmtId="0" fontId="21" fillId="0" borderId="0" xfId="5" applyFont="1"/>
    <xf numFmtId="0" fontId="21" fillId="0" borderId="0" xfId="12" applyFont="1"/>
    <xf numFmtId="0" fontId="21" fillId="0" borderId="0" xfId="11" applyFont="1"/>
    <xf numFmtId="0" fontId="21" fillId="0" borderId="0" xfId="6" applyFont="1"/>
    <xf numFmtId="0" fontId="5" fillId="0" borderId="0" xfId="7" applyFont="1"/>
    <xf numFmtId="0" fontId="0" fillId="4" borderId="1" xfId="0" applyNumberFormat="1" applyFill="1" applyBorder="1" applyAlignment="1">
      <alignment horizontal="center" wrapText="1"/>
    </xf>
    <xf numFmtId="169" fontId="2" fillId="4" borderId="0" xfId="3" applyNumberFormat="1" applyFont="1" applyFill="1" applyAlignment="1"/>
    <xf numFmtId="172" fontId="2" fillId="4" borderId="0" xfId="2" applyNumberFormat="1" applyFont="1" applyFill="1" applyAlignment="1"/>
    <xf numFmtId="174" fontId="2" fillId="4" borderId="0" xfId="2" applyNumberFormat="1" applyFont="1" applyFill="1" applyBorder="1" applyAlignment="1"/>
    <xf numFmtId="169" fontId="2" fillId="5" borderId="0" xfId="3" applyNumberFormat="1" applyFont="1" applyFill="1" applyAlignment="1">
      <alignment horizontal="center"/>
    </xf>
    <xf numFmtId="175" fontId="2" fillId="5" borderId="0" xfId="1" applyNumberFormat="1" applyFont="1" applyFill="1" applyBorder="1" applyAlignment="1">
      <alignment horizontal="left"/>
    </xf>
    <xf numFmtId="177" fontId="4" fillId="0" borderId="0" xfId="2" applyNumberFormat="1" applyFont="1" applyAlignment="1"/>
    <xf numFmtId="177" fontId="2" fillId="0" borderId="0" xfId="2" applyNumberFormat="1" applyFont="1" applyAlignment="1"/>
    <xf numFmtId="177" fontId="7" fillId="0" borderId="0" xfId="2" applyNumberFormat="1" applyFont="1" applyAlignment="1"/>
    <xf numFmtId="177" fontId="7" fillId="0" borderId="0" xfId="2" applyNumberFormat="1" applyFont="1" applyFill="1" applyAlignment="1"/>
    <xf numFmtId="177" fontId="7" fillId="2" borderId="0" xfId="2" applyNumberFormat="1" applyFont="1" applyFill="1" applyAlignment="1"/>
    <xf numFmtId="177" fontId="4" fillId="0" borderId="2" xfId="2" applyNumberFormat="1" applyFont="1" applyBorder="1" applyAlignment="1">
      <alignment vertical="top"/>
    </xf>
    <xf numFmtId="178" fontId="2" fillId="0" borderId="0" xfId="2" applyNumberFormat="1" applyFont="1" applyAlignment="1"/>
    <xf numFmtId="178" fontId="7" fillId="0" borderId="0" xfId="2" applyNumberFormat="1" applyFont="1" applyAlignment="1"/>
    <xf numFmtId="178" fontId="4" fillId="0" borderId="2" xfId="2" applyNumberFormat="1" applyFont="1" applyBorder="1" applyAlignment="1">
      <alignment vertical="top"/>
    </xf>
    <xf numFmtId="169" fontId="7" fillId="2" borderId="0" xfId="3" applyNumberFormat="1" applyFont="1" applyFill="1" applyBorder="1" applyAlignment="1"/>
    <xf numFmtId="169" fontId="4" fillId="0" borderId="0" xfId="3" applyNumberFormat="1" applyFont="1" applyBorder="1" applyAlignment="1">
      <alignment vertical="top"/>
    </xf>
    <xf numFmtId="169" fontId="2" fillId="0" borderId="0" xfId="3" applyNumberFormat="1" applyFont="1" applyFill="1" applyBorder="1" applyAlignment="1"/>
    <xf numFmtId="169" fontId="4" fillId="0" borderId="0" xfId="3" applyNumberFormat="1" applyFont="1" applyBorder="1" applyAlignment="1">
      <alignment horizontal="center" vertical="top"/>
    </xf>
    <xf numFmtId="0" fontId="0" fillId="0" borderId="0" xfId="0" applyNumberFormat="1" applyBorder="1" applyAlignment="1"/>
    <xf numFmtId="164" fontId="0" fillId="0" borderId="0" xfId="0" applyAlignment="1">
      <alignment horizontal="center" vertical="justify"/>
    </xf>
    <xf numFmtId="0" fontId="16" fillId="3" borderId="0" xfId="6" applyFont="1" applyFill="1" applyAlignment="1">
      <alignment horizontal="left" wrapText="1"/>
    </xf>
    <xf numFmtId="0" fontId="16" fillId="0" borderId="0" xfId="11" applyFont="1" applyAlignment="1">
      <alignment horizontal="left" vertical="top" wrapText="1"/>
    </xf>
    <xf numFmtId="0" fontId="9" fillId="0" borderId="0" xfId="5" applyFont="1" applyAlignment="1">
      <alignment horizontal="left" vertical="top" wrapText="1"/>
    </xf>
    <xf numFmtId="0" fontId="5" fillId="0" borderId="0" xfId="6" applyFont="1" applyAlignment="1">
      <alignment horizontal="left" wrapText="1"/>
    </xf>
    <xf numFmtId="0" fontId="18" fillId="3" borderId="0" xfId="9" applyFill="1" applyAlignment="1">
      <alignment horizontal="left" vertical="top"/>
    </xf>
    <xf numFmtId="164" fontId="0" fillId="0" borderId="0" xfId="0" applyAlignment="1">
      <alignment horizontal="center"/>
    </xf>
    <xf numFmtId="0" fontId="0" fillId="0" borderId="0" xfId="0" applyNumberFormat="1" applyAlignment="1">
      <alignment horizontal="center"/>
    </xf>
    <xf numFmtId="164" fontId="0" fillId="0" borderId="0" xfId="0" applyAlignment="1">
      <alignment horizontal="center" vertical="center" wrapText="1"/>
    </xf>
    <xf numFmtId="0" fontId="0" fillId="0" borderId="0" xfId="0" applyNumberFormat="1" applyBorder="1" applyAlignment="1">
      <alignment wrapText="1"/>
    </xf>
  </cellXfs>
  <cellStyles count="13">
    <cellStyle name="Between Paragraphs" xfId="7" xr:uid="{AEF102DF-C6D3-4D6C-9A16-4BFC7854A208}"/>
    <cellStyle name="Comma" xfId="1" builtinId="3"/>
    <cellStyle name="Currency [0]" xfId="2" builtinId="7"/>
    <cellStyle name="Fact Sheet Body Text" xfId="6" xr:uid="{CD4E1CA6-D080-4AFB-93CB-082E6FD5FD48}"/>
    <cellStyle name="Fact Sheet Body Text 2" xfId="11" xr:uid="{94F28C8B-0C09-48E5-B255-F0295368E8C4}"/>
    <cellStyle name="Fact Sheet Heading 2" xfId="8" xr:uid="{A41AA47D-4091-4944-9BBB-967D69843F0E}"/>
    <cellStyle name="Fact Sheet Heading 3" xfId="9" xr:uid="{9F66D108-D4C9-45DB-9731-B535B1A3260B}"/>
    <cellStyle name="Hyperlink 2" xfId="10" xr:uid="{C1A5BA01-4218-4CAB-846A-D9F2CC768B50}"/>
    <cellStyle name="Normal" xfId="0" builtinId="0"/>
    <cellStyle name="Normal 2" xfId="12" xr:uid="{C86FEDE8-14D9-44DF-A4AB-A0E910F8D037}"/>
    <cellStyle name="Normal 3" xfId="5" xr:uid="{3C7F26FF-6093-4513-850A-393E863E7FA9}"/>
    <cellStyle name="Percent" xfId="3" builtinId="5"/>
    <cellStyle name="Percent 122" xfId="4" xr:uid="{4269B64E-52AD-4D99-9DBF-2700CF75C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533067</xdr:colOff>
      <xdr:row>1</xdr:row>
      <xdr:rowOff>24848</xdr:rowOff>
    </xdr:from>
    <xdr:to>
      <xdr:col>6</xdr:col>
      <xdr:colOff>452314</xdr:colOff>
      <xdr:row>8</xdr:row>
      <xdr:rowOff>13253</xdr:rowOff>
    </xdr:to>
    <xdr:pic>
      <xdr:nvPicPr>
        <xdr:cNvPr id="2" name="Picture 1">
          <a:extLst>
            <a:ext uri="{FF2B5EF4-FFF2-40B4-BE49-F238E27FC236}">
              <a16:creationId xmlns:a16="http://schemas.microsoft.com/office/drawing/2014/main" id="{5BE69BD0-8288-49B6-A5B2-06E06B924C8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0"/>
        <a:stretch/>
      </xdr:blipFill>
      <xdr:spPr bwMode="auto">
        <a:xfrm>
          <a:off x="504492" y="186773"/>
          <a:ext cx="6243847" cy="1121880"/>
        </a:xfrm>
        <a:prstGeom prst="rect">
          <a:avLst/>
        </a:prstGeom>
        <a:noFill/>
      </xdr:spPr>
    </xdr:pic>
    <xdr:clientData/>
  </xdr:twoCellAnchor>
  <xdr:twoCellAnchor editAs="absolute">
    <xdr:from>
      <xdr:col>1</xdr:col>
      <xdr:colOff>7620</xdr:colOff>
      <xdr:row>1</xdr:row>
      <xdr:rowOff>29845</xdr:rowOff>
    </xdr:from>
    <xdr:to>
      <xdr:col>6</xdr:col>
      <xdr:colOff>235575</xdr:colOff>
      <xdr:row>6</xdr:row>
      <xdr:rowOff>133398</xdr:rowOff>
    </xdr:to>
    <xdr:sp macro="" textlink="">
      <xdr:nvSpPr>
        <xdr:cNvPr id="3" name="Text Box 2">
          <a:extLst>
            <a:ext uri="{FF2B5EF4-FFF2-40B4-BE49-F238E27FC236}">
              <a16:creationId xmlns:a16="http://schemas.microsoft.com/office/drawing/2014/main" id="{3A942E4A-AED7-4554-94DC-30DE6D95C1F8}"/>
            </a:ext>
          </a:extLst>
        </xdr:cNvPr>
        <xdr:cNvSpPr txBox="1">
          <a:spLocks noChangeArrowheads="1"/>
        </xdr:cNvSpPr>
      </xdr:nvSpPr>
      <xdr:spPr bwMode="auto">
        <a:xfrm>
          <a:off x="512445" y="191770"/>
          <a:ext cx="6019155" cy="913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Estimating Rate Calculations</a:t>
          </a:r>
        </a:p>
      </xdr:txBody>
    </xdr:sp>
    <xdr:clientData/>
  </xdr:twoCellAnchor>
  <xdr:twoCellAnchor>
    <xdr:from>
      <xdr:col>1</xdr:col>
      <xdr:colOff>0</xdr:colOff>
      <xdr:row>40</xdr:row>
      <xdr:rowOff>0</xdr:rowOff>
    </xdr:from>
    <xdr:to>
      <xdr:col>2</xdr:col>
      <xdr:colOff>994875</xdr:colOff>
      <xdr:row>40</xdr:row>
      <xdr:rowOff>0</xdr:rowOff>
    </xdr:to>
    <xdr:cxnSp macro="">
      <xdr:nvCxnSpPr>
        <xdr:cNvPr id="4" name="Straight Connector 3">
          <a:extLst>
            <a:ext uri="{FF2B5EF4-FFF2-40B4-BE49-F238E27FC236}">
              <a16:creationId xmlns:a16="http://schemas.microsoft.com/office/drawing/2014/main" id="{C5089523-B657-4C46-A1D7-D6932F251E45}"/>
            </a:ext>
          </a:extLst>
        </xdr:cNvPr>
        <xdr:cNvCxnSpPr/>
      </xdr:nvCxnSpPr>
      <xdr:spPr>
        <a:xfrm>
          <a:off x="504825" y="10629900"/>
          <a:ext cx="1833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tigation/Bill-Impact-Tool-v0.3%20Slave%20Lake%20Pulp%20ADJU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
      <sheetName val="Annual Summary"/>
      <sheetName val="Adjust Load Profile"/>
      <sheetName val="Site Data Input"/>
      <sheetName val="Year 2020"/>
      <sheetName val="Year 2019"/>
      <sheetName val="Year 2018"/>
      <sheetName val="Year 2017"/>
      <sheetName val="Year 2016"/>
      <sheetName val="Lookup"/>
    </sheetNames>
    <sheetDataSet>
      <sheetData sheetId="0"/>
      <sheetData sheetId="1"/>
      <sheetData sheetId="2"/>
      <sheetData sheetId="3">
        <row r="2">
          <cell r="B2" t="str">
            <v>APL</v>
          </cell>
          <cell r="C2" t="str">
            <v>AEC Mill (844S) - Slave Lake Pulp</v>
          </cell>
          <cell r="D2">
            <v>1002940</v>
          </cell>
        </row>
      </sheetData>
      <sheetData sheetId="4"/>
      <sheetData sheetId="5"/>
      <sheetData sheetId="6"/>
      <sheetData sheetId="7"/>
      <sheetData sheetId="8"/>
      <sheetData sheetId="9">
        <row r="29">
          <cell r="B29" t="str">
            <v>Year</v>
          </cell>
          <cell r="C29" t="str">
            <v>Hours</v>
          </cell>
        </row>
        <row r="30">
          <cell r="B30">
            <v>2020</v>
          </cell>
          <cell r="C30">
            <v>8784</v>
          </cell>
        </row>
        <row r="31">
          <cell r="B31">
            <v>2019</v>
          </cell>
          <cell r="C31">
            <v>8760</v>
          </cell>
        </row>
        <row r="32">
          <cell r="B32">
            <v>2018</v>
          </cell>
          <cell r="C32">
            <v>8760</v>
          </cell>
        </row>
        <row r="33">
          <cell r="B33">
            <v>2017</v>
          </cell>
          <cell r="C33">
            <v>8760</v>
          </cell>
        </row>
        <row r="34">
          <cell r="B34">
            <v>2016</v>
          </cell>
          <cell r="C34">
            <v>8784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iffdesign@aes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8C35-1C65-4380-A329-A3AE7F095256}">
  <sheetPr>
    <pageSetUpPr fitToPage="1"/>
  </sheetPr>
  <dimension ref="A9:G50"/>
  <sheetViews>
    <sheetView showGridLines="0" tabSelected="1" zoomScale="115" zoomScaleNormal="115" workbookViewId="0">
      <selection activeCell="B9" sqref="B9:F12"/>
    </sheetView>
  </sheetViews>
  <sheetFormatPr defaultColWidth="9.33203125" defaultRowHeight="12.75" x14ac:dyDescent="0.2"/>
  <cols>
    <col min="1" max="1" width="8.83203125" style="47" customWidth="1"/>
    <col min="2" max="2" width="14.6640625" style="47" customWidth="1"/>
    <col min="3" max="3" width="22.6640625" style="47" customWidth="1"/>
    <col min="4" max="4" width="25" style="47" customWidth="1"/>
    <col min="5" max="5" width="24.33203125" style="47" customWidth="1"/>
    <col min="6" max="6" width="14.6640625" style="47" customWidth="1"/>
    <col min="7" max="7" width="8.83203125" style="47" customWidth="1"/>
    <col min="8" max="16384" width="9.33203125" style="47"/>
  </cols>
  <sheetData>
    <row r="9" spans="2:7" s="34" customFormat="1" ht="6.6" customHeight="1" x14ac:dyDescent="0.2">
      <c r="B9" s="86" t="s">
        <v>63</v>
      </c>
      <c r="C9" s="86"/>
      <c r="D9" s="86"/>
      <c r="E9" s="86"/>
      <c r="F9" s="86"/>
    </row>
    <row r="10" spans="2:7" s="34" customFormat="1" ht="12.75" customHeight="1" x14ac:dyDescent="0.2">
      <c r="B10" s="86"/>
      <c r="C10" s="86"/>
      <c r="D10" s="86"/>
      <c r="E10" s="86"/>
      <c r="F10" s="86"/>
    </row>
    <row r="11" spans="2:7" s="34" customFormat="1" ht="12.75" customHeight="1" x14ac:dyDescent="0.2">
      <c r="B11" s="86"/>
      <c r="C11" s="86"/>
      <c r="D11" s="86"/>
      <c r="E11" s="86"/>
      <c r="F11" s="86"/>
    </row>
    <row r="12" spans="2:7" s="34" customFormat="1" ht="19.5" customHeight="1" x14ac:dyDescent="0.2">
      <c r="B12" s="86"/>
      <c r="C12" s="86"/>
      <c r="D12" s="86"/>
      <c r="E12" s="86"/>
      <c r="F12" s="86"/>
    </row>
    <row r="13" spans="2:7" s="35" customFormat="1" ht="6.75" customHeight="1" x14ac:dyDescent="0.2"/>
    <row r="14" spans="2:7" s="37" customFormat="1" ht="15.75" x14ac:dyDescent="0.25">
      <c r="B14" s="36" t="s">
        <v>64</v>
      </c>
    </row>
    <row r="15" spans="2:7" s="38" customFormat="1" ht="0.75" customHeight="1" x14ac:dyDescent="0.15"/>
    <row r="16" spans="2:7" s="39" customFormat="1" ht="59.25" customHeight="1" x14ac:dyDescent="0.2">
      <c r="B16" s="87" t="s">
        <v>98</v>
      </c>
      <c r="C16" s="87"/>
      <c r="D16" s="87"/>
      <c r="E16" s="87"/>
      <c r="F16" s="87"/>
      <c r="G16" s="87"/>
    </row>
    <row r="17" spans="1:7" s="35" customFormat="1" ht="14.25" customHeight="1" x14ac:dyDescent="0.2"/>
    <row r="18" spans="1:7" s="39" customFormat="1" ht="54.75" customHeight="1" x14ac:dyDescent="0.2">
      <c r="B18" s="87" t="s">
        <v>99</v>
      </c>
      <c r="C18" s="87"/>
      <c r="D18" s="87"/>
      <c r="E18" s="87"/>
      <c r="F18" s="87"/>
      <c r="G18" s="87"/>
    </row>
    <row r="19" spans="1:7" s="34" customFormat="1" ht="11.25" customHeight="1" x14ac:dyDescent="0.2"/>
    <row r="20" spans="1:7" s="37" customFormat="1" ht="15.75" x14ac:dyDescent="0.25">
      <c r="B20" s="36" t="s">
        <v>77</v>
      </c>
    </row>
    <row r="21" spans="1:7" s="38" customFormat="1" ht="6.75" x14ac:dyDescent="0.15"/>
    <row r="22" spans="1:7" s="39" customFormat="1" ht="60.75" customHeight="1" x14ac:dyDescent="0.2">
      <c r="B22" s="87" t="s">
        <v>101</v>
      </c>
      <c r="C22" s="87"/>
      <c r="D22" s="87"/>
      <c r="E22" s="87"/>
      <c r="F22" s="87"/>
      <c r="G22" s="87"/>
    </row>
    <row r="23" spans="1:7" s="40" customFormat="1" ht="6.75" customHeight="1" x14ac:dyDescent="0.15"/>
    <row r="24" spans="1:7" s="42" customFormat="1" ht="16.5" customHeight="1" x14ac:dyDescent="0.2">
      <c r="A24" s="41"/>
      <c r="B24" s="88" t="s">
        <v>78</v>
      </c>
      <c r="C24" s="88"/>
      <c r="D24" s="88"/>
      <c r="E24" s="88"/>
      <c r="F24" s="88"/>
      <c r="G24" s="88"/>
    </row>
    <row r="25" spans="1:7" s="34" customFormat="1" ht="27.75" customHeight="1" x14ac:dyDescent="0.2">
      <c r="B25" s="84" t="s">
        <v>97</v>
      </c>
      <c r="C25" s="84"/>
      <c r="D25" s="84"/>
      <c r="E25" s="84"/>
      <c r="F25" s="84"/>
      <c r="G25" s="84"/>
    </row>
    <row r="26" spans="1:7" s="34" customFormat="1" ht="27.75" customHeight="1" x14ac:dyDescent="0.2">
      <c r="B26" s="84" t="s">
        <v>82</v>
      </c>
      <c r="C26" s="84"/>
      <c r="D26" s="84"/>
      <c r="E26" s="84"/>
      <c r="F26" s="84"/>
      <c r="G26" s="84"/>
    </row>
    <row r="27" spans="1:7" s="35" customFormat="1" ht="6.75" customHeight="1" x14ac:dyDescent="0.2"/>
    <row r="28" spans="1:7" s="34" customFormat="1" ht="6.75" customHeight="1" x14ac:dyDescent="0.2"/>
    <row r="29" spans="1:7" s="34" customFormat="1" x14ac:dyDescent="0.2">
      <c r="B29" s="43" t="s">
        <v>65</v>
      </c>
      <c r="C29" s="43"/>
      <c r="D29" s="43"/>
      <c r="E29" s="44"/>
      <c r="F29" s="44" t="s">
        <v>66</v>
      </c>
    </row>
    <row r="30" spans="1:7" s="34" customFormat="1" x14ac:dyDescent="0.2"/>
    <row r="31" spans="1:7" s="45" customFormat="1" x14ac:dyDescent="0.2">
      <c r="B31" s="36" t="s">
        <v>67</v>
      </c>
    </row>
    <row r="32" spans="1:7" s="45" customFormat="1" ht="6.75" customHeight="1" x14ac:dyDescent="0.2"/>
    <row r="33" spans="1:7" s="45" customFormat="1" ht="33" customHeight="1" x14ac:dyDescent="0.2">
      <c r="B33" s="85" t="s">
        <v>100</v>
      </c>
      <c r="C33" s="85"/>
      <c r="D33" s="85"/>
      <c r="E33" s="85"/>
      <c r="F33" s="85"/>
      <c r="G33" s="85"/>
    </row>
    <row r="34" spans="1:7" s="34" customFormat="1" x14ac:dyDescent="0.2">
      <c r="B34" s="46"/>
    </row>
    <row r="35" spans="1:7" ht="15.75" x14ac:dyDescent="0.25">
      <c r="B35" s="36" t="s">
        <v>68</v>
      </c>
      <c r="C35" s="37"/>
      <c r="D35" s="37"/>
      <c r="E35" s="37"/>
      <c r="F35" s="37"/>
    </row>
    <row r="36" spans="1:7" s="48" customFormat="1" ht="6.75" x14ac:dyDescent="0.15"/>
    <row r="37" spans="1:7" s="49" customFormat="1" ht="22.35" customHeight="1" x14ac:dyDescent="0.2">
      <c r="B37" s="50" t="s">
        <v>69</v>
      </c>
      <c r="C37" s="51" t="s">
        <v>7</v>
      </c>
      <c r="D37" s="52"/>
      <c r="E37" s="52"/>
      <c r="F37" s="53"/>
    </row>
    <row r="38" spans="1:7" s="49" customFormat="1" ht="25.5" customHeight="1" x14ac:dyDescent="0.2">
      <c r="B38" s="54" t="s">
        <v>70</v>
      </c>
      <c r="C38" s="55" t="s">
        <v>71</v>
      </c>
      <c r="D38" s="56"/>
      <c r="E38" s="56"/>
      <c r="F38" s="57"/>
    </row>
    <row r="39" spans="1:7" s="34" customFormat="1" x14ac:dyDescent="0.2"/>
    <row r="40" spans="1:7" s="34" customFormat="1" ht="18" customHeight="1" x14ac:dyDescent="0.2"/>
    <row r="41" spans="1:7" s="34" customFormat="1" x14ac:dyDescent="0.2"/>
    <row r="42" spans="1:7" s="34" customFormat="1" ht="13.5" x14ac:dyDescent="0.2">
      <c r="B42" s="58" t="s">
        <v>72</v>
      </c>
    </row>
    <row r="43" spans="1:7" s="34" customFormat="1" x14ac:dyDescent="0.2">
      <c r="B43" s="58" t="s">
        <v>73</v>
      </c>
    </row>
    <row r="44" spans="1:7" s="59" customFormat="1" ht="12" customHeight="1" x14ac:dyDescent="0.2">
      <c r="B44" s="58" t="s">
        <v>74</v>
      </c>
    </row>
    <row r="45" spans="1:7" s="59" customFormat="1" ht="12" customHeight="1" x14ac:dyDescent="0.2">
      <c r="B45" s="60" t="s">
        <v>75</v>
      </c>
    </row>
    <row r="46" spans="1:7" s="59" customFormat="1" ht="12" customHeight="1" x14ac:dyDescent="0.2"/>
    <row r="47" spans="1:7" s="61" customFormat="1" ht="12" customHeight="1" x14ac:dyDescent="0.2"/>
    <row r="48" spans="1:7" s="34" customFormat="1" x14ac:dyDescent="0.2">
      <c r="A48" s="34" t="s">
        <v>76</v>
      </c>
    </row>
    <row r="49" s="62" customFormat="1" x14ac:dyDescent="0.2"/>
    <row r="50" ht="18" customHeight="1" x14ac:dyDescent="0.2"/>
  </sheetData>
  <mergeCells count="8">
    <mergeCell ref="B26:G26"/>
    <mergeCell ref="B33:G33"/>
    <mergeCell ref="B9:F12"/>
    <mergeCell ref="B16:G16"/>
    <mergeCell ref="B18:G18"/>
    <mergeCell ref="B22:G22"/>
    <mergeCell ref="B24:G24"/>
    <mergeCell ref="B25:G25"/>
  </mergeCells>
  <hyperlinks>
    <hyperlink ref="F29" r:id="rId1" xr:uid="{EE371145-D8BA-4741-8757-4705403AE07D}"/>
  </hyperlinks>
  <pageMargins left="0.25" right="0.25" top="0.25" bottom="0.5" header="0.35" footer="0.3"/>
  <pageSetup orientation="portrait" r:id="rId2"/>
  <headerFooter alignWithMargins="0">
    <oddFooter>&amp;L&amp;8Posted: 2021-01-08&amp;C&amp;8Page 1&amp;R&amp;8Public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FE4C-993B-4B2E-9E99-81C6B52A5206}">
  <sheetPr>
    <tabColor theme="9" tint="0.59999389629810485"/>
    <pageSetUpPr fitToPage="1"/>
  </sheetPr>
  <dimension ref="A1:W48"/>
  <sheetViews>
    <sheetView showGridLines="0" zoomScaleNormal="100" workbookViewId="0">
      <selection activeCell="F9" sqref="F9"/>
    </sheetView>
  </sheetViews>
  <sheetFormatPr defaultRowHeight="12.75" x14ac:dyDescent="0.2"/>
  <cols>
    <col min="1" max="1" width="5.83203125" customWidth="1"/>
    <col min="2" max="2" width="1.83203125" customWidth="1"/>
    <col min="3" max="3" width="2.83203125" customWidth="1"/>
    <col min="4" max="4" width="33.6640625" customWidth="1"/>
    <col min="5" max="5" width="1.83203125" customWidth="1"/>
    <col min="6" max="6" width="14.5" customWidth="1"/>
    <col min="7" max="7" width="1.83203125" customWidth="1"/>
    <col min="8" max="21" width="10.83203125" customWidth="1"/>
    <col min="22" max="22" width="23" customWidth="1"/>
    <col min="23" max="23" width="9.6640625" bestFit="1" customWidth="1"/>
  </cols>
  <sheetData>
    <row r="1" spans="1:23" s="2" customFormat="1" x14ac:dyDescent="0.2">
      <c r="A1" s="1" t="str">
        <f>Applicant</f>
        <v>Alberta Electric System Operator</v>
      </c>
      <c r="B1" s="1"/>
      <c r="C1" s="1"/>
      <c r="D1" s="1"/>
      <c r="E1" s="1"/>
      <c r="F1" s="1"/>
      <c r="G1" s="1"/>
      <c r="H1" s="1"/>
      <c r="I1" s="1"/>
      <c r="J1" s="1"/>
      <c r="K1" s="1"/>
      <c r="L1" s="1"/>
      <c r="M1" s="1"/>
      <c r="N1" s="1"/>
      <c r="O1" s="1"/>
      <c r="P1" s="1"/>
      <c r="Q1" s="1"/>
      <c r="R1" s="1"/>
      <c r="S1" s="1"/>
      <c r="T1" s="1"/>
      <c r="U1" s="1"/>
    </row>
    <row r="2" spans="1:23" s="2" customFormat="1" x14ac:dyDescent="0.2">
      <c r="A2" s="1" t="str">
        <f>Application</f>
        <v>AESO Preferred Rate Design</v>
      </c>
      <c r="B2" s="1"/>
      <c r="C2" s="1"/>
      <c r="D2" s="1"/>
      <c r="E2" s="1"/>
      <c r="F2" s="1"/>
      <c r="G2" s="1"/>
      <c r="H2" s="1"/>
      <c r="I2" s="1"/>
      <c r="J2" s="1"/>
      <c r="K2" s="1"/>
      <c r="L2" s="1"/>
      <c r="M2" s="1"/>
      <c r="N2" s="1"/>
      <c r="O2" s="1"/>
      <c r="P2" s="1"/>
      <c r="Q2" s="1"/>
      <c r="R2" s="1"/>
      <c r="S2" s="1"/>
      <c r="T2" s="1"/>
      <c r="U2" s="1"/>
    </row>
    <row r="4" spans="1:23" x14ac:dyDescent="0.2">
      <c r="A4" s="3" t="str">
        <f>TableGroup1</f>
        <v>Estimated Rate Calculations</v>
      </c>
      <c r="B4" s="4"/>
      <c r="C4" s="4"/>
      <c r="D4" s="4"/>
      <c r="E4" s="4"/>
      <c r="F4" s="4"/>
      <c r="G4" s="4"/>
      <c r="H4" s="4"/>
      <c r="I4" s="4"/>
      <c r="J4" s="4"/>
      <c r="K4" s="4"/>
      <c r="L4" s="4"/>
      <c r="M4" s="4"/>
      <c r="N4" s="4"/>
      <c r="O4" s="4"/>
      <c r="P4" s="4"/>
      <c r="Q4" s="4"/>
      <c r="R4" s="4"/>
      <c r="S4" s="4"/>
      <c r="T4" s="4"/>
      <c r="U4" s="4"/>
    </row>
    <row r="6" spans="1:23" s="5" customFormat="1" x14ac:dyDescent="0.2">
      <c r="F6" s="5" t="s">
        <v>0</v>
      </c>
      <c r="H6" s="5" t="s">
        <v>1</v>
      </c>
      <c r="I6" s="5" t="s">
        <v>2</v>
      </c>
      <c r="J6" s="5" t="s">
        <v>3</v>
      </c>
      <c r="K6" s="5" t="s">
        <v>4</v>
      </c>
      <c r="L6" s="5" t="s">
        <v>5</v>
      </c>
      <c r="M6" s="5" t="s">
        <v>6</v>
      </c>
      <c r="N6" s="5" t="s">
        <v>46</v>
      </c>
      <c r="O6" s="5" t="s">
        <v>47</v>
      </c>
      <c r="P6" s="5" t="s">
        <v>48</v>
      </c>
      <c r="Q6" s="5" t="s">
        <v>49</v>
      </c>
      <c r="R6" s="5" t="s">
        <v>50</v>
      </c>
      <c r="S6" s="5" t="s">
        <v>51</v>
      </c>
      <c r="T6" s="5" t="s">
        <v>52</v>
      </c>
      <c r="U6" s="5" t="s">
        <v>53</v>
      </c>
    </row>
    <row r="7" spans="1:23" ht="27" customHeight="1" x14ac:dyDescent="0.2">
      <c r="D7" t="s">
        <v>56</v>
      </c>
      <c r="H7" s="83" t="s">
        <v>85</v>
      </c>
      <c r="I7" s="91" t="s">
        <v>61</v>
      </c>
      <c r="J7" s="91" t="s">
        <v>60</v>
      </c>
      <c r="K7" s="89" t="s">
        <v>58</v>
      </c>
      <c r="L7" s="89"/>
      <c r="M7" s="89"/>
      <c r="N7" s="89"/>
      <c r="O7" s="89"/>
      <c r="P7" s="89"/>
      <c r="Q7" s="89"/>
      <c r="R7" s="89"/>
      <c r="S7" s="89"/>
      <c r="T7" s="89"/>
      <c r="U7" s="89"/>
    </row>
    <row r="8" spans="1:23" s="6" customFormat="1" ht="15" x14ac:dyDescent="0.2">
      <c r="D8" s="6" t="s">
        <v>57</v>
      </c>
      <c r="F8" s="7"/>
      <c r="H8" s="7" t="s">
        <v>62</v>
      </c>
      <c r="I8" s="91"/>
      <c r="J8" s="91"/>
      <c r="K8" s="90" t="s">
        <v>96</v>
      </c>
      <c r="L8" s="90"/>
      <c r="M8" s="90"/>
      <c r="N8" s="90"/>
      <c r="O8" s="90"/>
      <c r="P8" s="90"/>
      <c r="Q8" s="90"/>
      <c r="R8" s="90"/>
      <c r="S8" s="90"/>
      <c r="T8" s="90"/>
      <c r="U8" s="90"/>
    </row>
    <row r="9" spans="1:23" s="9" customFormat="1" ht="25.5" x14ac:dyDescent="0.2">
      <c r="A9" s="8"/>
      <c r="C9" s="10" t="s">
        <v>7</v>
      </c>
      <c r="D9" s="10"/>
      <c r="F9" s="11"/>
      <c r="H9" s="8" t="s">
        <v>8</v>
      </c>
      <c r="I9" s="8" t="s">
        <v>9</v>
      </c>
      <c r="J9" s="8" t="s">
        <v>10</v>
      </c>
      <c r="K9" s="8" t="s">
        <v>11</v>
      </c>
      <c r="L9" s="8" t="s">
        <v>12</v>
      </c>
      <c r="M9" s="8" t="s">
        <v>13</v>
      </c>
      <c r="N9" s="8" t="s">
        <v>38</v>
      </c>
      <c r="O9" s="8" t="s">
        <v>39</v>
      </c>
      <c r="P9" s="8" t="s">
        <v>40</v>
      </c>
      <c r="Q9" s="8" t="s">
        <v>41</v>
      </c>
      <c r="R9" s="8" t="s">
        <v>42</v>
      </c>
      <c r="S9" s="8" t="s">
        <v>43</v>
      </c>
      <c r="T9" s="8" t="s">
        <v>44</v>
      </c>
      <c r="U9" s="8" t="s">
        <v>45</v>
      </c>
    </row>
    <row r="10" spans="1:23" ht="18.95" customHeight="1" x14ac:dyDescent="0.2">
      <c r="A10" s="12">
        <v>1</v>
      </c>
      <c r="C10" s="13" t="s">
        <v>54</v>
      </c>
      <c r="D10" s="13"/>
      <c r="E10" s="13"/>
      <c r="F10" s="14"/>
      <c r="G10" s="13"/>
      <c r="H10" s="69"/>
      <c r="I10" s="69"/>
      <c r="J10" s="69"/>
      <c r="K10" s="69"/>
      <c r="L10" s="69"/>
      <c r="M10" s="69"/>
      <c r="N10" s="69"/>
      <c r="O10" s="69"/>
      <c r="P10" s="69"/>
      <c r="Q10" s="69"/>
      <c r="R10" s="69"/>
      <c r="S10" s="69"/>
      <c r="T10" s="69"/>
      <c r="U10" s="69"/>
    </row>
    <row r="11" spans="1:23" ht="13.5" x14ac:dyDescent="0.25">
      <c r="A11" s="12">
        <f t="shared" ref="A11:A37" si="0">A10+1</f>
        <v>2</v>
      </c>
      <c r="C11" t="s">
        <v>14</v>
      </c>
      <c r="F11" s="15"/>
      <c r="H11" s="70">
        <v>1834.5948623572119</v>
      </c>
      <c r="I11" s="70">
        <v>1916.7334297988</v>
      </c>
      <c r="J11" s="70">
        <v>1951.5918456441691</v>
      </c>
      <c r="K11" s="70">
        <v>1828.2488912659626</v>
      </c>
      <c r="L11" s="70">
        <v>1967.5117707481313</v>
      </c>
      <c r="M11" s="70">
        <v>2069.8190510145164</v>
      </c>
      <c r="N11" s="70">
        <v>2197.6590858971222</v>
      </c>
      <c r="O11" s="70">
        <v>2263.8406084918865</v>
      </c>
      <c r="P11" s="70">
        <v>2330.8549523940842</v>
      </c>
      <c r="Q11" s="70">
        <v>2398.7802250707655</v>
      </c>
      <c r="R11" s="70">
        <v>2467.7857626378177</v>
      </c>
      <c r="S11" s="70">
        <v>2507.7013274620012</v>
      </c>
      <c r="T11" s="70">
        <v>2528.8315815097867</v>
      </c>
      <c r="U11" s="70">
        <v>2550.7031780546822</v>
      </c>
      <c r="V11" s="16"/>
      <c r="W11" s="17"/>
    </row>
    <row r="12" spans="1:23" ht="13.5" x14ac:dyDescent="0.25">
      <c r="A12" s="12">
        <f t="shared" si="0"/>
        <v>3</v>
      </c>
      <c r="C12" t="s">
        <v>84</v>
      </c>
      <c r="F12" s="15"/>
      <c r="H12" s="70">
        <v>97.6</v>
      </c>
      <c r="I12" s="70">
        <v>98.967838999999998</v>
      </c>
      <c r="J12" s="70">
        <v>114.5</v>
      </c>
      <c r="K12" s="70">
        <v>117.47228100418899</v>
      </c>
      <c r="L12" s="70">
        <v>120.56936439463044</v>
      </c>
      <c r="M12" s="70">
        <v>123.99510534279834</v>
      </c>
      <c r="N12" s="70">
        <v>127.40506279134983</v>
      </c>
      <c r="O12" s="70">
        <v>130.60259688292129</v>
      </c>
      <c r="P12" s="70">
        <v>133.81027750996046</v>
      </c>
      <c r="Q12" s="70">
        <v>137.0643841737284</v>
      </c>
      <c r="R12" s="70">
        <v>140.43023801478037</v>
      </c>
      <c r="S12" s="70">
        <v>143.93721889025949</v>
      </c>
      <c r="T12" s="70">
        <v>147.58875407436815</v>
      </c>
      <c r="U12" s="70">
        <v>151.32328791860243</v>
      </c>
      <c r="V12" s="16"/>
      <c r="W12" s="17"/>
    </row>
    <row r="13" spans="1:23" ht="13.5" x14ac:dyDescent="0.25">
      <c r="A13" s="12">
        <f t="shared" si="0"/>
        <v>4</v>
      </c>
      <c r="C13" t="s">
        <v>15</v>
      </c>
      <c r="F13" s="15"/>
      <c r="H13" s="70">
        <f>SUM(H14:H15)</f>
        <v>23.6</v>
      </c>
      <c r="I13" s="70">
        <f t="shared" ref="I13:J13" si="1">SUM(I14:I15)</f>
        <v>26.1</v>
      </c>
      <c r="J13" s="70">
        <f t="shared" si="1"/>
        <v>36.23785535008885</v>
      </c>
      <c r="K13" s="70">
        <f>SUM(K14:K15)</f>
        <v>37.087517084685601</v>
      </c>
      <c r="L13" s="70">
        <f t="shared" ref="L13" si="2">SUM(L14:L15)</f>
        <v>37.987187442076092</v>
      </c>
      <c r="M13" s="70">
        <f t="shared" ref="M13" si="3">SUM(M14:M15)</f>
        <v>38.959128064426707</v>
      </c>
      <c r="N13" s="70">
        <f t="shared" ref="N13" si="4">SUM(N14:N15)</f>
        <v>39.931581513755027</v>
      </c>
      <c r="O13" s="70">
        <f t="shared" ref="O13" si="5">SUM(O14:O15)</f>
        <v>40.866064675921365</v>
      </c>
      <c r="P13" s="70">
        <f t="shared" ref="P13" si="6">SUM(P14:P15)</f>
        <v>41.808093266581629</v>
      </c>
      <c r="Q13" s="70">
        <f t="shared" ref="Q13" si="7">SUM(Q14:Q15)</f>
        <v>42.765271727190495</v>
      </c>
      <c r="R13" s="70">
        <f t="shared" ref="R13" si="8">SUM(R14:R15)</f>
        <v>43.750952880842469</v>
      </c>
      <c r="S13" s="70">
        <f t="shared" ref="S13" si="9">SUM(S14:S15)</f>
        <v>44.771202791876128</v>
      </c>
      <c r="T13" s="70">
        <f t="shared" ref="T13" si="10">SUM(T14:T15)</f>
        <v>45.826761641610801</v>
      </c>
      <c r="U13" s="70">
        <f t="shared" ref="U13" si="11">SUM(U14:U15)</f>
        <v>46.905218794353644</v>
      </c>
      <c r="V13" s="16"/>
      <c r="W13" s="17"/>
    </row>
    <row r="14" spans="1:23" ht="13.5" x14ac:dyDescent="0.25">
      <c r="A14" s="12">
        <f t="shared" si="0"/>
        <v>5</v>
      </c>
      <c r="D14" s="24" t="s">
        <v>16</v>
      </c>
      <c r="E14" s="24"/>
      <c r="F14" s="25"/>
      <c r="G14" s="24"/>
      <c r="H14" s="71">
        <v>23.8</v>
      </c>
      <c r="I14" s="71">
        <v>26.3</v>
      </c>
      <c r="J14" s="71">
        <v>36.256632004357314</v>
      </c>
      <c r="K14" s="71">
        <v>37.117517084685602</v>
      </c>
      <c r="L14" s="71">
        <v>38.017187442076093</v>
      </c>
      <c r="M14" s="71">
        <v>38.989128064426708</v>
      </c>
      <c r="N14" s="71">
        <v>39.961581513755029</v>
      </c>
      <c r="O14" s="71">
        <v>40.896064675921366</v>
      </c>
      <c r="P14" s="71">
        <v>41.83809326658163</v>
      </c>
      <c r="Q14" s="71">
        <v>42.795271727190496</v>
      </c>
      <c r="R14" s="71">
        <v>43.78095288084247</v>
      </c>
      <c r="S14" s="71">
        <v>44.801202791876129</v>
      </c>
      <c r="T14" s="71">
        <v>45.856761641610802</v>
      </c>
      <c r="U14" s="71">
        <v>46.935218794353645</v>
      </c>
      <c r="V14" s="16"/>
      <c r="W14" s="17"/>
    </row>
    <row r="15" spans="1:23" ht="13.5" x14ac:dyDescent="0.25">
      <c r="A15" s="12">
        <f t="shared" si="0"/>
        <v>6</v>
      </c>
      <c r="D15" s="32" t="s">
        <v>17</v>
      </c>
      <c r="E15" s="32"/>
      <c r="F15" s="78"/>
      <c r="G15" s="32"/>
      <c r="H15" s="72">
        <v>-0.2</v>
      </c>
      <c r="I15" s="72">
        <v>-0.2</v>
      </c>
      <c r="J15" s="72">
        <v>-1.877665426846227E-2</v>
      </c>
      <c r="K15" s="73">
        <f>-K29*$F$37/10^6</f>
        <v>-0.03</v>
      </c>
      <c r="L15" s="73">
        <f t="shared" ref="L15:U15" si="12">-L29*$F$37/10^6</f>
        <v>-0.03</v>
      </c>
      <c r="M15" s="73">
        <f t="shared" si="12"/>
        <v>-0.03</v>
      </c>
      <c r="N15" s="73">
        <f t="shared" si="12"/>
        <v>-0.03</v>
      </c>
      <c r="O15" s="73">
        <f t="shared" si="12"/>
        <v>-0.03</v>
      </c>
      <c r="P15" s="73">
        <f t="shared" si="12"/>
        <v>-0.03</v>
      </c>
      <c r="Q15" s="73">
        <f t="shared" si="12"/>
        <v>-0.03</v>
      </c>
      <c r="R15" s="73">
        <f t="shared" si="12"/>
        <v>-0.03</v>
      </c>
      <c r="S15" s="73">
        <f t="shared" si="12"/>
        <v>-0.03</v>
      </c>
      <c r="T15" s="73">
        <f t="shared" si="12"/>
        <v>-0.03</v>
      </c>
      <c r="U15" s="73">
        <f t="shared" si="12"/>
        <v>-0.03</v>
      </c>
      <c r="V15" s="16"/>
      <c r="W15" s="17"/>
    </row>
    <row r="16" spans="1:23" s="20" customFormat="1" x14ac:dyDescent="0.2">
      <c r="A16" s="12">
        <f t="shared" si="0"/>
        <v>7</v>
      </c>
      <c r="C16" s="21" t="s">
        <v>86</v>
      </c>
      <c r="D16" s="21"/>
      <c r="E16" s="21"/>
      <c r="F16" s="79"/>
      <c r="G16" s="21"/>
      <c r="H16" s="74">
        <f>SUM(H11:H13)</f>
        <v>1955.7948623572117</v>
      </c>
      <c r="I16" s="74">
        <f t="shared" ref="I16:U16" si="13">SUM(I11:I13)</f>
        <v>2041.8012687987998</v>
      </c>
      <c r="J16" s="74">
        <f t="shared" si="13"/>
        <v>2102.329700994258</v>
      </c>
      <c r="K16" s="74">
        <f t="shared" si="13"/>
        <v>1982.808689354837</v>
      </c>
      <c r="L16" s="74">
        <f t="shared" si="13"/>
        <v>2126.0683225848379</v>
      </c>
      <c r="M16" s="74">
        <f t="shared" si="13"/>
        <v>2232.7732844217417</v>
      </c>
      <c r="N16" s="74">
        <f t="shared" si="13"/>
        <v>2364.9957302022272</v>
      </c>
      <c r="O16" s="74">
        <f t="shared" si="13"/>
        <v>2435.3092700507291</v>
      </c>
      <c r="P16" s="74">
        <f t="shared" si="13"/>
        <v>2506.4733231706264</v>
      </c>
      <c r="Q16" s="74">
        <f t="shared" si="13"/>
        <v>2578.6098809716841</v>
      </c>
      <c r="R16" s="74">
        <f t="shared" si="13"/>
        <v>2651.9669535334406</v>
      </c>
      <c r="S16" s="74">
        <f t="shared" si="13"/>
        <v>2696.4097491441366</v>
      </c>
      <c r="T16" s="74">
        <f t="shared" si="13"/>
        <v>2722.2470972257661</v>
      </c>
      <c r="U16" s="74">
        <f t="shared" si="13"/>
        <v>2748.9316847676382</v>
      </c>
      <c r="V16" s="23"/>
    </row>
    <row r="17" spans="1:23" ht="13.5" x14ac:dyDescent="0.25">
      <c r="A17" s="12">
        <f t="shared" si="0"/>
        <v>8</v>
      </c>
      <c r="C17" t="s">
        <v>83</v>
      </c>
      <c r="F17" s="80"/>
      <c r="H17" s="70">
        <v>313.79999999999995</v>
      </c>
      <c r="I17" s="70">
        <v>257.84487141836678</v>
      </c>
      <c r="J17" s="70">
        <v>198.29999999999998</v>
      </c>
      <c r="K17" s="70">
        <v>235.95408659919576</v>
      </c>
      <c r="L17" s="70">
        <v>241.67324332334073</v>
      </c>
      <c r="M17" s="70">
        <v>247.85181828707431</v>
      </c>
      <c r="N17" s="70">
        <v>254.0336532646939</v>
      </c>
      <c r="O17" s="70">
        <v>259.97411314158211</v>
      </c>
      <c r="P17" s="70">
        <v>265.96253890703497</v>
      </c>
      <c r="Q17" s="70">
        <v>272.04727159187763</v>
      </c>
      <c r="R17" s="70">
        <v>278.3131943840018</v>
      </c>
      <c r="S17" s="70">
        <v>284.79886893253416</v>
      </c>
      <c r="T17" s="70">
        <v>291.50900053084638</v>
      </c>
      <c r="U17" s="70">
        <v>298.36469542636502</v>
      </c>
      <c r="V17" s="16"/>
      <c r="W17" s="17"/>
    </row>
    <row r="18" spans="1:23" s="20" customFormat="1" x14ac:dyDescent="0.2">
      <c r="A18" s="12">
        <f t="shared" si="0"/>
        <v>9</v>
      </c>
      <c r="C18" s="21" t="s">
        <v>18</v>
      </c>
      <c r="D18" s="21"/>
      <c r="E18" s="21"/>
      <c r="F18" s="81"/>
      <c r="G18" s="21"/>
      <c r="H18" s="74">
        <f>SUM(H16:H17)</f>
        <v>2269.5948623572117</v>
      </c>
      <c r="I18" s="74">
        <f t="shared" ref="I18:U18" si="14">SUM(I16:I17)</f>
        <v>2299.6461402171667</v>
      </c>
      <c r="J18" s="74">
        <f t="shared" si="14"/>
        <v>2300.6297009942582</v>
      </c>
      <c r="K18" s="74">
        <f t="shared" si="14"/>
        <v>2218.7627759540328</v>
      </c>
      <c r="L18" s="74">
        <f t="shared" si="14"/>
        <v>2367.7415659081785</v>
      </c>
      <c r="M18" s="74">
        <f t="shared" si="14"/>
        <v>2480.625102708816</v>
      </c>
      <c r="N18" s="74">
        <f t="shared" si="14"/>
        <v>2619.029383466921</v>
      </c>
      <c r="O18" s="74">
        <f t="shared" si="14"/>
        <v>2695.2833831923112</v>
      </c>
      <c r="P18" s="74">
        <f t="shared" si="14"/>
        <v>2772.4358620776611</v>
      </c>
      <c r="Q18" s="74">
        <f t="shared" si="14"/>
        <v>2850.6571525635618</v>
      </c>
      <c r="R18" s="74">
        <f t="shared" si="14"/>
        <v>2930.2801479174423</v>
      </c>
      <c r="S18" s="74">
        <f t="shared" si="14"/>
        <v>2981.208618076671</v>
      </c>
      <c r="T18" s="74">
        <f t="shared" si="14"/>
        <v>3013.7560977566127</v>
      </c>
      <c r="U18" s="74">
        <f t="shared" si="14"/>
        <v>3047.2963801940032</v>
      </c>
      <c r="V18" s="23"/>
    </row>
    <row r="19" spans="1:23" ht="28.5" customHeight="1" x14ac:dyDescent="0.2">
      <c r="A19" s="12">
        <f t="shared" si="0"/>
        <v>10</v>
      </c>
      <c r="C19" s="13" t="s">
        <v>55</v>
      </c>
      <c r="D19" s="13"/>
      <c r="E19" s="13"/>
      <c r="F19" s="11" t="s">
        <v>88</v>
      </c>
      <c r="G19" s="13"/>
      <c r="H19" s="14"/>
      <c r="I19" s="14"/>
      <c r="J19" s="14"/>
      <c r="K19" s="14"/>
      <c r="L19" s="14"/>
      <c r="M19" s="14"/>
      <c r="N19" s="14"/>
      <c r="O19" s="14"/>
      <c r="P19" s="14"/>
      <c r="Q19" s="14"/>
      <c r="R19" s="14"/>
      <c r="S19" s="14"/>
      <c r="T19" s="14"/>
      <c r="U19" s="14"/>
    </row>
    <row r="20" spans="1:23" ht="13.5" x14ac:dyDescent="0.25">
      <c r="A20" s="12">
        <f t="shared" si="0"/>
        <v>11</v>
      </c>
      <c r="C20" t="s">
        <v>19</v>
      </c>
      <c r="F20" s="64">
        <v>0.28589999999999999</v>
      </c>
      <c r="H20" s="75">
        <f>$F20*H$16</f>
        <v>559.16175114792679</v>
      </c>
      <c r="I20" s="75">
        <f t="shared" ref="I20:U23" si="15">$F20*I$16</f>
        <v>583.75098274957679</v>
      </c>
      <c r="J20" s="75">
        <f t="shared" si="15"/>
        <v>601.05606151425832</v>
      </c>
      <c r="K20" s="75">
        <f t="shared" si="15"/>
        <v>566.88500428654788</v>
      </c>
      <c r="L20" s="75">
        <f t="shared" si="15"/>
        <v>607.84293342700516</v>
      </c>
      <c r="M20" s="75">
        <f t="shared" si="15"/>
        <v>638.34988201617591</v>
      </c>
      <c r="N20" s="75">
        <f t="shared" si="15"/>
        <v>676.15227926481668</v>
      </c>
      <c r="O20" s="75">
        <f t="shared" si="15"/>
        <v>696.25492030750343</v>
      </c>
      <c r="P20" s="75">
        <f t="shared" si="15"/>
        <v>716.60072309448208</v>
      </c>
      <c r="Q20" s="75">
        <f t="shared" si="15"/>
        <v>737.22456496980442</v>
      </c>
      <c r="R20" s="75">
        <f t="shared" si="15"/>
        <v>758.19735201521064</v>
      </c>
      <c r="S20" s="75">
        <f t="shared" si="15"/>
        <v>770.90354728030866</v>
      </c>
      <c r="T20" s="75">
        <f t="shared" si="15"/>
        <v>778.2904450968465</v>
      </c>
      <c r="U20" s="75">
        <f t="shared" si="15"/>
        <v>785.91956867506769</v>
      </c>
      <c r="V20" s="16"/>
      <c r="W20" s="17"/>
    </row>
    <row r="21" spans="1:23" ht="13.5" x14ac:dyDescent="0.25">
      <c r="A21" s="12">
        <f t="shared" si="0"/>
        <v>12</v>
      </c>
      <c r="C21" t="s">
        <v>20</v>
      </c>
      <c r="F21" s="64">
        <v>0.16600000000000001</v>
      </c>
      <c r="H21" s="75">
        <f>$F21*H$16</f>
        <v>324.66194715129717</v>
      </c>
      <c r="I21" s="75">
        <f t="shared" si="15"/>
        <v>338.93901062060081</v>
      </c>
      <c r="J21" s="75">
        <f t="shared" si="15"/>
        <v>348.98673036504687</v>
      </c>
      <c r="K21" s="75">
        <f t="shared" si="15"/>
        <v>329.14624243290297</v>
      </c>
      <c r="L21" s="75">
        <f t="shared" si="15"/>
        <v>352.92734154908311</v>
      </c>
      <c r="M21" s="75">
        <f t="shared" si="15"/>
        <v>370.64036521400914</v>
      </c>
      <c r="N21" s="75">
        <f t="shared" si="15"/>
        <v>392.58929121356971</v>
      </c>
      <c r="O21" s="75">
        <f t="shared" si="15"/>
        <v>404.26133882842106</v>
      </c>
      <c r="P21" s="75">
        <f t="shared" si="15"/>
        <v>416.07457164632399</v>
      </c>
      <c r="Q21" s="75">
        <f t="shared" si="15"/>
        <v>428.04924024129957</v>
      </c>
      <c r="R21" s="75">
        <f t="shared" si="15"/>
        <v>440.22651428655115</v>
      </c>
      <c r="S21" s="75">
        <f t="shared" si="15"/>
        <v>447.60401835792669</v>
      </c>
      <c r="T21" s="75">
        <f t="shared" si="15"/>
        <v>451.89301813947719</v>
      </c>
      <c r="U21" s="75">
        <f t="shared" si="15"/>
        <v>456.32265967142797</v>
      </c>
      <c r="V21" s="16"/>
      <c r="W21" s="17"/>
    </row>
    <row r="22" spans="1:23" ht="13.5" x14ac:dyDescent="0.25">
      <c r="A22" s="12">
        <f t="shared" si="0"/>
        <v>13</v>
      </c>
      <c r="C22" t="s">
        <v>21</v>
      </c>
      <c r="F22" s="64">
        <v>0.31090000000000001</v>
      </c>
      <c r="H22" s="75">
        <f>$F22*H$16</f>
        <v>608.05662270685718</v>
      </c>
      <c r="I22" s="75">
        <f t="shared" si="15"/>
        <v>634.79601446954689</v>
      </c>
      <c r="J22" s="75">
        <f t="shared" si="15"/>
        <v>653.61430403911481</v>
      </c>
      <c r="K22" s="75">
        <f t="shared" si="15"/>
        <v>616.45522152041883</v>
      </c>
      <c r="L22" s="75">
        <f t="shared" si="15"/>
        <v>660.99464149162611</v>
      </c>
      <c r="M22" s="75">
        <f t="shared" si="15"/>
        <v>694.16921412671945</v>
      </c>
      <c r="N22" s="75">
        <f t="shared" si="15"/>
        <v>735.27717251987247</v>
      </c>
      <c r="O22" s="75">
        <f t="shared" si="15"/>
        <v>757.13765205877166</v>
      </c>
      <c r="P22" s="75">
        <f t="shared" si="15"/>
        <v>779.26255617374773</v>
      </c>
      <c r="Q22" s="75">
        <f t="shared" si="15"/>
        <v>801.68981199409666</v>
      </c>
      <c r="R22" s="75">
        <f t="shared" si="15"/>
        <v>824.4965258535467</v>
      </c>
      <c r="S22" s="75">
        <f t="shared" si="15"/>
        <v>838.31379100891206</v>
      </c>
      <c r="T22" s="75">
        <f t="shared" si="15"/>
        <v>846.34662252749069</v>
      </c>
      <c r="U22" s="75">
        <f t="shared" si="15"/>
        <v>854.6428607942587</v>
      </c>
      <c r="V22" s="16"/>
      <c r="W22" s="17"/>
    </row>
    <row r="23" spans="1:23" ht="13.5" x14ac:dyDescent="0.25">
      <c r="A23" s="12">
        <f t="shared" si="0"/>
        <v>14</v>
      </c>
      <c r="C23" s="24" t="s">
        <v>22</v>
      </c>
      <c r="D23" s="24"/>
      <c r="E23" s="24"/>
      <c r="F23" s="25">
        <v>0.23719999999999999</v>
      </c>
      <c r="G23" s="24"/>
      <c r="H23" s="76">
        <f>$F23*H$16</f>
        <v>463.91454135113059</v>
      </c>
      <c r="I23" s="76">
        <f t="shared" si="15"/>
        <v>484.31526095907532</v>
      </c>
      <c r="J23" s="76">
        <f t="shared" si="15"/>
        <v>498.67260507583796</v>
      </c>
      <c r="K23" s="76">
        <f t="shared" si="15"/>
        <v>470.32222111496736</v>
      </c>
      <c r="L23" s="76">
        <f t="shared" si="15"/>
        <v>504.30340611712353</v>
      </c>
      <c r="M23" s="76">
        <f t="shared" si="15"/>
        <v>529.61382306483711</v>
      </c>
      <c r="N23" s="76">
        <f t="shared" si="15"/>
        <v>560.97698720396829</v>
      </c>
      <c r="O23" s="76">
        <f t="shared" si="15"/>
        <v>577.65535885603288</v>
      </c>
      <c r="P23" s="76">
        <f t="shared" si="15"/>
        <v>594.53547225607258</v>
      </c>
      <c r="Q23" s="76">
        <f t="shared" si="15"/>
        <v>611.64626376648346</v>
      </c>
      <c r="R23" s="76">
        <f t="shared" si="15"/>
        <v>629.04656137813208</v>
      </c>
      <c r="S23" s="76">
        <f t="shared" si="15"/>
        <v>639.58839249698917</v>
      </c>
      <c r="T23" s="76">
        <f t="shared" si="15"/>
        <v>645.71701146195164</v>
      </c>
      <c r="U23" s="76">
        <f t="shared" si="15"/>
        <v>652.0465956268838</v>
      </c>
      <c r="V23" s="16"/>
      <c r="W23" s="17"/>
    </row>
    <row r="24" spans="1:23" s="20" customFormat="1" x14ac:dyDescent="0.2">
      <c r="A24" s="12">
        <f t="shared" si="0"/>
        <v>15</v>
      </c>
      <c r="C24" s="21" t="s">
        <v>87</v>
      </c>
      <c r="D24" s="21"/>
      <c r="E24" s="21"/>
      <c r="F24" s="22">
        <f>SUM(F20:F23)</f>
        <v>0.99999999999999989</v>
      </c>
      <c r="G24" s="21"/>
      <c r="H24" s="77">
        <f t="shared" ref="H24:U24" si="16">SUM(H20:H23)</f>
        <v>1955.7948623572115</v>
      </c>
      <c r="I24" s="77">
        <f t="shared" si="16"/>
        <v>2041.8012687987998</v>
      </c>
      <c r="J24" s="77">
        <f t="shared" si="16"/>
        <v>2102.329700994258</v>
      </c>
      <c r="K24" s="77">
        <f t="shared" si="16"/>
        <v>1982.808689354837</v>
      </c>
      <c r="L24" s="77">
        <f t="shared" si="16"/>
        <v>2126.0683225848379</v>
      </c>
      <c r="M24" s="77">
        <f t="shared" si="16"/>
        <v>2232.7732844217417</v>
      </c>
      <c r="N24" s="77">
        <f t="shared" si="16"/>
        <v>2364.9957302022272</v>
      </c>
      <c r="O24" s="77">
        <f t="shared" si="16"/>
        <v>2435.3092700507291</v>
      </c>
      <c r="P24" s="77">
        <f t="shared" si="16"/>
        <v>2506.4733231706264</v>
      </c>
      <c r="Q24" s="77">
        <f t="shared" si="16"/>
        <v>2578.6098809716841</v>
      </c>
      <c r="R24" s="77">
        <f t="shared" si="16"/>
        <v>2651.9669535334406</v>
      </c>
      <c r="S24" s="77">
        <f t="shared" si="16"/>
        <v>2696.4097491441362</v>
      </c>
      <c r="T24" s="77">
        <f t="shared" si="16"/>
        <v>2722.2470972257661</v>
      </c>
      <c r="U24" s="77">
        <f t="shared" si="16"/>
        <v>2748.9316847676382</v>
      </c>
      <c r="V24" s="23"/>
    </row>
    <row r="25" spans="1:23" ht="31.5" customHeight="1" x14ac:dyDescent="0.2">
      <c r="A25" s="12">
        <f t="shared" si="0"/>
        <v>16</v>
      </c>
      <c r="C25" s="13" t="s">
        <v>23</v>
      </c>
      <c r="D25" s="13"/>
      <c r="F25" s="63" t="s">
        <v>89</v>
      </c>
      <c r="H25" s="26"/>
      <c r="I25" s="26"/>
      <c r="J25" s="26"/>
      <c r="K25" s="26"/>
      <c r="L25" s="26"/>
      <c r="M25" s="26"/>
      <c r="N25" s="26"/>
      <c r="O25" s="26"/>
      <c r="P25" s="26"/>
      <c r="Q25" s="26"/>
      <c r="R25" s="26"/>
      <c r="S25" s="26"/>
      <c r="T25" s="26"/>
      <c r="U25" s="26"/>
    </row>
    <row r="26" spans="1:23" ht="15" x14ac:dyDescent="0.2">
      <c r="A26" s="12">
        <f t="shared" si="0"/>
        <v>17</v>
      </c>
      <c r="C26" s="82" t="s">
        <v>92</v>
      </c>
      <c r="F26" s="64">
        <v>-2E-3</v>
      </c>
      <c r="H26" s="18">
        <v>93507.584609999962</v>
      </c>
      <c r="I26" s="18">
        <v>91210.881907393399</v>
      </c>
      <c r="J26" s="18">
        <v>91617.175437382641</v>
      </c>
      <c r="K26" s="65">
        <f t="shared" ref="K26:Q26" si="17">J26*(1+$F26)</f>
        <v>91433.941086507868</v>
      </c>
      <c r="L26" s="65">
        <f t="shared" si="17"/>
        <v>91251.073204334854</v>
      </c>
      <c r="M26" s="65">
        <f t="shared" si="17"/>
        <v>91068.571057926179</v>
      </c>
      <c r="N26" s="65">
        <f t="shared" si="17"/>
        <v>90886.433915810325</v>
      </c>
      <c r="O26" s="65">
        <f t="shared" si="17"/>
        <v>90704.661047978705</v>
      </c>
      <c r="P26" s="65">
        <f t="shared" si="17"/>
        <v>90523.251725882743</v>
      </c>
      <c r="Q26" s="65">
        <f t="shared" si="17"/>
        <v>90342.205222430974</v>
      </c>
      <c r="R26" s="65">
        <f t="shared" ref="R26:U26" si="18">Q26*(1+$F26)</f>
        <v>90161.520811986105</v>
      </c>
      <c r="S26" s="65">
        <f t="shared" si="18"/>
        <v>89981.197770362138</v>
      </c>
      <c r="T26" s="65">
        <f t="shared" si="18"/>
        <v>89801.235374821408</v>
      </c>
      <c r="U26" s="65">
        <f t="shared" si="18"/>
        <v>89621.632904071768</v>
      </c>
    </row>
    <row r="27" spans="1:23" x14ac:dyDescent="0.2">
      <c r="A27" s="12">
        <f t="shared" si="0"/>
        <v>18</v>
      </c>
      <c r="C27" t="s">
        <v>24</v>
      </c>
      <c r="F27" s="64">
        <v>0.01</v>
      </c>
      <c r="H27" s="27">
        <v>157948.86510079991</v>
      </c>
      <c r="I27" s="27">
        <v>160561.5</v>
      </c>
      <c r="J27" s="27">
        <v>159954.2432156</v>
      </c>
      <c r="K27" s="66">
        <f t="shared" ref="K27:Q27" si="19">J27*(1+$F27)</f>
        <v>161553.78564775601</v>
      </c>
      <c r="L27" s="66">
        <f t="shared" si="19"/>
        <v>163169.32350423359</v>
      </c>
      <c r="M27" s="66">
        <f t="shared" si="19"/>
        <v>164801.01673927592</v>
      </c>
      <c r="N27" s="66">
        <f t="shared" si="19"/>
        <v>166449.02690666867</v>
      </c>
      <c r="O27" s="66">
        <f t="shared" si="19"/>
        <v>168113.51717573535</v>
      </c>
      <c r="P27" s="66">
        <f t="shared" si="19"/>
        <v>169794.65234749269</v>
      </c>
      <c r="Q27" s="66">
        <f t="shared" si="19"/>
        <v>171492.59887096763</v>
      </c>
      <c r="R27" s="66">
        <f t="shared" ref="R27:U27" si="20">Q27*(1+$F27)</f>
        <v>173207.5248596773</v>
      </c>
      <c r="S27" s="66">
        <f t="shared" si="20"/>
        <v>174939.60010827408</v>
      </c>
      <c r="T27" s="66">
        <f t="shared" si="20"/>
        <v>176688.99610935681</v>
      </c>
      <c r="U27" s="66">
        <f t="shared" si="20"/>
        <v>178455.88607045039</v>
      </c>
    </row>
    <row r="28" spans="1:23" x14ac:dyDescent="0.2">
      <c r="A28" s="12">
        <f>A26+1</f>
        <v>18</v>
      </c>
      <c r="C28" t="s">
        <v>25</v>
      </c>
      <c r="D28" s="28"/>
      <c r="F28" s="67" t="s">
        <v>59</v>
      </c>
      <c r="H28" s="29">
        <v>59687.754718973003</v>
      </c>
      <c r="I28" s="29">
        <v>61157</v>
      </c>
      <c r="J28" s="29">
        <v>58398.900030000004</v>
      </c>
      <c r="K28" s="68">
        <v>58860.672336087955</v>
      </c>
      <c r="L28" s="68">
        <v>59127.247375453393</v>
      </c>
      <c r="M28" s="68">
        <v>59158.874922496747</v>
      </c>
      <c r="N28" s="68">
        <v>59622.444397732215</v>
      </c>
      <c r="O28" s="68">
        <v>60311.021279076129</v>
      </c>
      <c r="P28" s="68">
        <v>60650.791498741892</v>
      </c>
      <c r="Q28" s="68">
        <v>61376.417792336601</v>
      </c>
      <c r="R28" s="68">
        <v>61789.383192302703</v>
      </c>
      <c r="S28" s="68">
        <v>62085.778490309014</v>
      </c>
      <c r="T28" s="68">
        <v>63058.099650841898</v>
      </c>
      <c r="U28" s="68">
        <v>64126.207096706094</v>
      </c>
    </row>
    <row r="29" spans="1:23" x14ac:dyDescent="0.2">
      <c r="A29" s="12">
        <f>A25+1</f>
        <v>17</v>
      </c>
      <c r="C29" t="s">
        <v>26</v>
      </c>
      <c r="D29" s="28"/>
      <c r="F29" s="15"/>
      <c r="H29" s="29">
        <v>2000</v>
      </c>
      <c r="I29" s="29">
        <v>2000</v>
      </c>
      <c r="J29" s="29">
        <v>2000</v>
      </c>
      <c r="K29" s="29">
        <v>2000</v>
      </c>
      <c r="L29" s="29">
        <v>2000</v>
      </c>
      <c r="M29" s="29">
        <v>2000</v>
      </c>
      <c r="N29" s="29">
        <v>2000</v>
      </c>
      <c r="O29" s="29">
        <v>2000</v>
      </c>
      <c r="P29" s="29">
        <v>2000</v>
      </c>
      <c r="Q29" s="29">
        <v>2000</v>
      </c>
      <c r="R29" s="29">
        <v>2000</v>
      </c>
      <c r="S29" s="29">
        <v>2000</v>
      </c>
      <c r="T29" s="29">
        <v>2000</v>
      </c>
      <c r="U29" s="29">
        <v>2000</v>
      </c>
    </row>
    <row r="30" spans="1:23" x14ac:dyDescent="0.2">
      <c r="A30" s="12">
        <f>A26+1</f>
        <v>18</v>
      </c>
      <c r="C30" t="s">
        <v>27</v>
      </c>
      <c r="D30" s="28"/>
      <c r="F30" s="15"/>
      <c r="H30" s="29">
        <v>0</v>
      </c>
      <c r="I30" s="29">
        <v>0</v>
      </c>
      <c r="J30" s="29">
        <v>0</v>
      </c>
      <c r="K30" s="29">
        <v>0</v>
      </c>
      <c r="L30" s="29">
        <v>0</v>
      </c>
      <c r="M30" s="29">
        <v>0</v>
      </c>
      <c r="N30" s="29">
        <v>0</v>
      </c>
      <c r="O30" s="29">
        <v>0</v>
      </c>
      <c r="P30" s="29">
        <v>0</v>
      </c>
      <c r="Q30" s="29">
        <v>0</v>
      </c>
      <c r="R30" s="29">
        <v>0</v>
      </c>
      <c r="S30" s="29">
        <v>0</v>
      </c>
      <c r="T30" s="29">
        <v>0</v>
      </c>
      <c r="U30" s="29">
        <v>0</v>
      </c>
    </row>
    <row r="31" spans="1:23" x14ac:dyDescent="0.2">
      <c r="A31" s="12">
        <f>A27+1</f>
        <v>19</v>
      </c>
      <c r="C31" t="s">
        <v>28</v>
      </c>
      <c r="D31" s="28"/>
      <c r="F31" s="15"/>
      <c r="H31" s="29">
        <v>0</v>
      </c>
      <c r="I31" s="29">
        <v>0</v>
      </c>
      <c r="J31" s="29">
        <v>0</v>
      </c>
      <c r="K31" s="29">
        <v>0</v>
      </c>
      <c r="L31" s="29">
        <v>0</v>
      </c>
      <c r="M31" s="29">
        <v>0</v>
      </c>
      <c r="N31" s="29">
        <v>0</v>
      </c>
      <c r="O31" s="29">
        <v>0</v>
      </c>
      <c r="P31" s="29">
        <v>0</v>
      </c>
      <c r="Q31" s="29">
        <v>0</v>
      </c>
      <c r="R31" s="29">
        <v>0</v>
      </c>
      <c r="S31" s="29">
        <v>0</v>
      </c>
      <c r="T31" s="29">
        <v>0</v>
      </c>
      <c r="U31" s="29">
        <v>0</v>
      </c>
    </row>
    <row r="32" spans="1:23" ht="18.95" customHeight="1" x14ac:dyDescent="0.2">
      <c r="A32" s="12">
        <f t="shared" si="0"/>
        <v>20</v>
      </c>
      <c r="C32" s="13" t="s">
        <v>29</v>
      </c>
      <c r="D32" s="13"/>
      <c r="F32" s="26"/>
      <c r="H32" s="26"/>
      <c r="I32" s="26"/>
      <c r="J32" s="26"/>
      <c r="K32" s="26"/>
      <c r="L32" s="26"/>
      <c r="M32" s="26"/>
      <c r="N32" s="26"/>
      <c r="O32" s="26"/>
      <c r="P32" s="26"/>
      <c r="Q32" s="26"/>
      <c r="R32" s="26"/>
      <c r="S32" s="26"/>
      <c r="T32" s="26"/>
      <c r="U32" s="26"/>
    </row>
    <row r="33" spans="1:21" x14ac:dyDescent="0.2">
      <c r="A33" s="12">
        <f t="shared" si="0"/>
        <v>21</v>
      </c>
      <c r="C33" t="s">
        <v>30</v>
      </c>
      <c r="D33" s="28"/>
      <c r="F33" s="27"/>
      <c r="H33" s="75">
        <f t="shared" ref="H33:U33" si="21">ROUND(H20*10^6/$H26,0)</f>
        <v>5980</v>
      </c>
      <c r="I33" s="75">
        <f t="shared" si="21"/>
        <v>6243</v>
      </c>
      <c r="J33" s="75">
        <f t="shared" si="21"/>
        <v>6428</v>
      </c>
      <c r="K33" s="75">
        <f t="shared" si="21"/>
        <v>6062</v>
      </c>
      <c r="L33" s="75">
        <f t="shared" si="21"/>
        <v>6500</v>
      </c>
      <c r="M33" s="75">
        <f t="shared" si="21"/>
        <v>6827</v>
      </c>
      <c r="N33" s="75">
        <f t="shared" si="21"/>
        <v>7231</v>
      </c>
      <c r="O33" s="75">
        <f t="shared" si="21"/>
        <v>7446</v>
      </c>
      <c r="P33" s="75">
        <f t="shared" si="21"/>
        <v>7664</v>
      </c>
      <c r="Q33" s="75">
        <f t="shared" si="21"/>
        <v>7884</v>
      </c>
      <c r="R33" s="75">
        <f t="shared" si="21"/>
        <v>8108</v>
      </c>
      <c r="S33" s="75">
        <f t="shared" si="21"/>
        <v>8244</v>
      </c>
      <c r="T33" s="75">
        <f t="shared" si="21"/>
        <v>8323</v>
      </c>
      <c r="U33" s="75">
        <f t="shared" si="21"/>
        <v>8405</v>
      </c>
    </row>
    <row r="34" spans="1:21" x14ac:dyDescent="0.2">
      <c r="A34" s="12">
        <f t="shared" si="0"/>
        <v>22</v>
      </c>
      <c r="C34" t="s">
        <v>31</v>
      </c>
      <c r="D34" s="28"/>
      <c r="F34" s="29"/>
      <c r="H34" s="75">
        <f t="shared" ref="H34:U34" si="22">ROUND(H21*10^6/$H27,0)</f>
        <v>2055</v>
      </c>
      <c r="I34" s="75">
        <f t="shared" si="22"/>
        <v>2146</v>
      </c>
      <c r="J34" s="75">
        <f t="shared" si="22"/>
        <v>2209</v>
      </c>
      <c r="K34" s="75">
        <f t="shared" si="22"/>
        <v>2084</v>
      </c>
      <c r="L34" s="75">
        <f t="shared" si="22"/>
        <v>2234</v>
      </c>
      <c r="M34" s="75">
        <f t="shared" si="22"/>
        <v>2347</v>
      </c>
      <c r="N34" s="75">
        <f t="shared" si="22"/>
        <v>2486</v>
      </c>
      <c r="O34" s="75">
        <f t="shared" si="22"/>
        <v>2559</v>
      </c>
      <c r="P34" s="75">
        <f t="shared" si="22"/>
        <v>2634</v>
      </c>
      <c r="Q34" s="75">
        <f t="shared" si="22"/>
        <v>2710</v>
      </c>
      <c r="R34" s="75">
        <f t="shared" si="22"/>
        <v>2787</v>
      </c>
      <c r="S34" s="75">
        <f t="shared" si="22"/>
        <v>2834</v>
      </c>
      <c r="T34" s="75">
        <f t="shared" si="22"/>
        <v>2861</v>
      </c>
      <c r="U34" s="75">
        <f t="shared" si="22"/>
        <v>2889</v>
      </c>
    </row>
    <row r="35" spans="1:21" x14ac:dyDescent="0.2">
      <c r="A35" s="12">
        <f t="shared" si="0"/>
        <v>23</v>
      </c>
      <c r="C35" t="s">
        <v>32</v>
      </c>
      <c r="D35" s="28"/>
      <c r="F35" s="31"/>
      <c r="H35" s="30">
        <f>ROUND(H22*10^3/$H28,2)</f>
        <v>10.19</v>
      </c>
      <c r="I35" s="30">
        <f t="shared" ref="I35:Q35" si="23">ROUND(I22*10^3/$H28,2)</f>
        <v>10.64</v>
      </c>
      <c r="J35" s="30">
        <f t="shared" si="23"/>
        <v>10.95</v>
      </c>
      <c r="K35" s="30">
        <f t="shared" si="23"/>
        <v>10.33</v>
      </c>
      <c r="L35" s="30">
        <f t="shared" si="23"/>
        <v>11.07</v>
      </c>
      <c r="M35" s="30">
        <f t="shared" si="23"/>
        <v>11.63</v>
      </c>
      <c r="N35" s="30">
        <f t="shared" si="23"/>
        <v>12.32</v>
      </c>
      <c r="O35" s="30">
        <f t="shared" si="23"/>
        <v>12.68</v>
      </c>
      <c r="P35" s="30">
        <f t="shared" si="23"/>
        <v>13.06</v>
      </c>
      <c r="Q35" s="30">
        <f t="shared" si="23"/>
        <v>13.43</v>
      </c>
      <c r="R35" s="30">
        <f t="shared" ref="R35:U35" si="24">ROUND(R22*10^3/$H28,2)</f>
        <v>13.81</v>
      </c>
      <c r="S35" s="30">
        <f t="shared" si="24"/>
        <v>14.04</v>
      </c>
      <c r="T35" s="30">
        <f t="shared" si="24"/>
        <v>14.18</v>
      </c>
      <c r="U35" s="30">
        <f t="shared" si="24"/>
        <v>14.32</v>
      </c>
    </row>
    <row r="36" spans="1:21" ht="27.75" x14ac:dyDescent="0.2">
      <c r="A36" s="12">
        <f t="shared" si="0"/>
        <v>24</v>
      </c>
      <c r="C36" s="13" t="s">
        <v>33</v>
      </c>
      <c r="D36" s="13"/>
      <c r="F36" s="11" t="s">
        <v>90</v>
      </c>
      <c r="H36" s="26"/>
      <c r="I36" s="26"/>
      <c r="J36" s="26"/>
      <c r="K36" s="26"/>
      <c r="L36" s="26"/>
      <c r="M36" s="26"/>
      <c r="N36" s="26"/>
      <c r="O36" s="26"/>
      <c r="P36" s="26"/>
      <c r="Q36" s="26"/>
      <c r="R36" s="26"/>
      <c r="S36" s="26"/>
      <c r="T36" s="26"/>
      <c r="U36" s="26"/>
    </row>
    <row r="37" spans="1:21" x14ac:dyDescent="0.2">
      <c r="A37" s="12">
        <f t="shared" si="0"/>
        <v>25</v>
      </c>
      <c r="C37" t="s">
        <v>34</v>
      </c>
      <c r="D37" s="28"/>
      <c r="F37" s="33">
        <v>15</v>
      </c>
      <c r="H37" s="30">
        <f>H35+H$17*1000/H$28</f>
        <v>15.447359762944007</v>
      </c>
      <c r="I37" s="30">
        <f t="shared" ref="I37:U37" si="25">I35+I$17*1000/I$28</f>
        <v>14.856113795941051</v>
      </c>
      <c r="J37" s="30">
        <f t="shared" si="25"/>
        <v>14.345611901904515</v>
      </c>
      <c r="K37" s="30">
        <f t="shared" si="25"/>
        <v>14.338688267302214</v>
      </c>
      <c r="L37" s="30">
        <f t="shared" si="25"/>
        <v>15.157341353618824</v>
      </c>
      <c r="M37" s="30">
        <f t="shared" si="25"/>
        <v>15.819596550167354</v>
      </c>
      <c r="N37" s="30">
        <f t="shared" si="25"/>
        <v>16.580705105783224</v>
      </c>
      <c r="O37" s="30">
        <f t="shared" si="25"/>
        <v>16.990557301601783</v>
      </c>
      <c r="P37" s="30">
        <f t="shared" si="25"/>
        <v>17.445145392744827</v>
      </c>
      <c r="Q37" s="30">
        <f t="shared" si="25"/>
        <v>17.862439711817871</v>
      </c>
      <c r="R37" s="30">
        <f t="shared" si="25"/>
        <v>18.314223541410463</v>
      </c>
      <c r="S37" s="30">
        <f t="shared" si="25"/>
        <v>18.627183665209071</v>
      </c>
      <c r="T37" s="30">
        <f t="shared" si="25"/>
        <v>18.80286371052976</v>
      </c>
      <c r="U37" s="30">
        <f t="shared" si="25"/>
        <v>18.972773163028549</v>
      </c>
    </row>
    <row r="38" spans="1:21" x14ac:dyDescent="0.2">
      <c r="A38" s="12">
        <f>A36+1</f>
        <v>25</v>
      </c>
      <c r="C38" t="s">
        <v>35</v>
      </c>
      <c r="D38" s="28"/>
      <c r="F38" s="31"/>
      <c r="H38" s="30">
        <f>ROUND(H$35+50%*H$20*1000/H$28+50%*H$21*1000/H$28,2)+H$17*1000/H$28</f>
        <v>22.847359762944006</v>
      </c>
      <c r="I38" s="30">
        <f t="shared" ref="I38:U38" si="26">ROUND(I$35+50%*I$20*1000/I$28+50%*I$21*1000/I$28,2)+I$17*1000/I$28</f>
        <v>22.396113795941048</v>
      </c>
      <c r="J38" s="30">
        <f t="shared" si="26"/>
        <v>22.475611901904514</v>
      </c>
      <c r="K38" s="30">
        <f t="shared" si="26"/>
        <v>21.948688267302217</v>
      </c>
      <c r="L38" s="30">
        <f t="shared" si="26"/>
        <v>23.277341353618823</v>
      </c>
      <c r="M38" s="30">
        <f t="shared" si="26"/>
        <v>24.349596550167355</v>
      </c>
      <c r="N38" s="30">
        <f t="shared" si="26"/>
        <v>25.540705105783225</v>
      </c>
      <c r="O38" s="30">
        <f t="shared" si="26"/>
        <v>26.110557301601784</v>
      </c>
      <c r="P38" s="30">
        <f t="shared" si="26"/>
        <v>26.785145392744823</v>
      </c>
      <c r="Q38" s="30">
        <f t="shared" si="26"/>
        <v>27.352439711817873</v>
      </c>
      <c r="R38" s="30">
        <f t="shared" si="26"/>
        <v>28.014223541410463</v>
      </c>
      <c r="S38" s="30">
        <f t="shared" si="26"/>
        <v>28.437183665209073</v>
      </c>
      <c r="T38" s="30">
        <f t="shared" si="26"/>
        <v>28.55286371052976</v>
      </c>
      <c r="U38" s="30">
        <f t="shared" si="26"/>
        <v>28.66277316302855</v>
      </c>
    </row>
    <row r="39" spans="1:21" x14ac:dyDescent="0.2">
      <c r="A39" s="12">
        <f>A37+1</f>
        <v>26</v>
      </c>
      <c r="C39" t="s">
        <v>36</v>
      </c>
      <c r="D39" s="28"/>
      <c r="F39" s="31"/>
      <c r="H39" s="30">
        <f>ROUND(H$35+100%*H$20*1000/H$28+1200%*H$21*1000/H$28,2)+H$17*1000/H$28</f>
        <v>90.087359762944004</v>
      </c>
      <c r="I39" s="30">
        <f t="shared" ref="I39:U39" si="27">ROUND(I$35+100%*I$20*1000/I$28+1200%*I$21*1000/I$28,2)+I$17*1000/I$28</f>
        <v>90.906113795941053</v>
      </c>
      <c r="J39" s="30">
        <f t="shared" si="27"/>
        <v>96.345611901904519</v>
      </c>
      <c r="K39" s="30">
        <f t="shared" si="27"/>
        <v>91.068688267302221</v>
      </c>
      <c r="L39" s="30">
        <f t="shared" si="27"/>
        <v>97.067341353618829</v>
      </c>
      <c r="M39" s="30">
        <f t="shared" si="27"/>
        <v>101.78959655016735</v>
      </c>
      <c r="N39" s="30">
        <f t="shared" si="27"/>
        <v>106.94070510578322</v>
      </c>
      <c r="O39" s="30">
        <f t="shared" si="27"/>
        <v>108.97055730160179</v>
      </c>
      <c r="P39" s="30">
        <f t="shared" si="27"/>
        <v>111.58514539274483</v>
      </c>
      <c r="Q39" s="30">
        <f t="shared" si="27"/>
        <v>113.56243971181786</v>
      </c>
      <c r="R39" s="30">
        <f t="shared" si="27"/>
        <v>116.08422354141047</v>
      </c>
      <c r="S39" s="30">
        <f t="shared" si="27"/>
        <v>117.55718366520907</v>
      </c>
      <c r="T39" s="30">
        <f t="shared" si="27"/>
        <v>117.14286371052975</v>
      </c>
      <c r="U39" s="30">
        <f t="shared" si="27"/>
        <v>116.62277316302855</v>
      </c>
    </row>
    <row r="40" spans="1:21" s="20" customFormat="1" ht="12.75" customHeight="1" x14ac:dyDescent="0.2">
      <c r="A40" s="19"/>
      <c r="C40" s="21"/>
      <c r="D40" s="21"/>
    </row>
    <row r="41" spans="1:21" x14ac:dyDescent="0.2">
      <c r="A41" t="s">
        <v>37</v>
      </c>
      <c r="C41" t="s">
        <v>80</v>
      </c>
    </row>
    <row r="42" spans="1:21" x14ac:dyDescent="0.2">
      <c r="C42" t="s">
        <v>79</v>
      </c>
    </row>
    <row r="43" spans="1:21" x14ac:dyDescent="0.2">
      <c r="C43" t="s">
        <v>81</v>
      </c>
    </row>
    <row r="44" spans="1:21" x14ac:dyDescent="0.2">
      <c r="C44" t="s">
        <v>81</v>
      </c>
    </row>
    <row r="45" spans="1:21" ht="15" x14ac:dyDescent="0.2">
      <c r="C45" s="82" t="s">
        <v>91</v>
      </c>
    </row>
    <row r="46" spans="1:21" ht="15" x14ac:dyDescent="0.2">
      <c r="C46" s="82" t="s">
        <v>93</v>
      </c>
      <c r="D46" s="82"/>
      <c r="E46" s="82"/>
      <c r="F46" s="82"/>
      <c r="G46" s="82"/>
      <c r="H46" s="82"/>
      <c r="I46" s="82"/>
      <c r="J46" s="82"/>
      <c r="K46" s="82"/>
      <c r="L46" s="82"/>
      <c r="M46" s="82"/>
      <c r="N46" s="82"/>
      <c r="O46" s="82"/>
      <c r="P46" s="82"/>
      <c r="Q46" s="82"/>
    </row>
    <row r="47" spans="1:21" ht="15" x14ac:dyDescent="0.2">
      <c r="C47" s="82" t="s">
        <v>94</v>
      </c>
      <c r="D47" s="82"/>
      <c r="E47" s="82"/>
      <c r="F47" s="82"/>
      <c r="G47" s="82"/>
      <c r="H47" s="82"/>
      <c r="I47" s="82"/>
      <c r="J47" s="82"/>
      <c r="K47" s="82"/>
      <c r="L47" s="82"/>
      <c r="M47" s="82"/>
      <c r="N47" s="82"/>
      <c r="O47" s="82"/>
      <c r="P47" s="82"/>
      <c r="Q47" s="82"/>
    </row>
    <row r="48" spans="1:21" ht="25.5" customHeight="1" x14ac:dyDescent="0.2">
      <c r="C48" s="92" t="s">
        <v>95</v>
      </c>
      <c r="D48" s="92"/>
      <c r="E48" s="92"/>
      <c r="F48" s="92"/>
      <c r="G48" s="92"/>
      <c r="H48" s="92"/>
      <c r="I48" s="92"/>
      <c r="J48" s="92"/>
      <c r="K48" s="92"/>
      <c r="L48" s="92"/>
      <c r="M48" s="92"/>
      <c r="N48" s="92"/>
      <c r="O48" s="92"/>
      <c r="P48" s="92"/>
      <c r="Q48" s="92"/>
    </row>
  </sheetData>
  <mergeCells count="5">
    <mergeCell ref="K7:U7"/>
    <mergeCell ref="K8:U8"/>
    <mergeCell ref="J7:J8"/>
    <mergeCell ref="I7:I8"/>
    <mergeCell ref="C48:Q48"/>
  </mergeCells>
  <phoneticPr fontId="8" type="noConversion"/>
  <printOptions horizontalCentered="1"/>
  <pageMargins left="0.75" right="0.5" top="0.75" bottom="0.5" header="0.5" footer="0.5"/>
  <pageSetup fitToHeight="0" orientation="portrait" r:id="rId1"/>
  <headerFooter alignWithMargins="0">
    <oddFooter>&amp;L&amp;A&amp;CConfidentiality: Public&amp;R&amp;P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ariff Document" ma:contentTypeID="0x010100BC84ACA119491D43B8AEA0C41A758E3B0B0600B71823FBBAAF324C862125ECD85A823C" ma:contentTypeVersion="51" ma:contentTypeDescription="" ma:contentTypeScope="" ma:versionID="d32982135025f4277788c602658eed90">
  <xsd:schema xmlns:xsd="http://www.w3.org/2001/XMLSchema" xmlns:xs="http://www.w3.org/2001/XMLSchema" xmlns:p="http://schemas.microsoft.com/office/2006/metadata/properties" xmlns:ns2="bfc2574c-8110-4e43-9784-1ee86de75c6c" xmlns:ns4="650fffc6-a86a-4844-afad-966e4497fd3d" xmlns:ns5="3874a12c-cb96-46c0-a01b-e4d7e8d40966" targetNamespace="http://schemas.microsoft.com/office/2006/metadata/properties" ma:root="true" ma:fieldsID="190e0d48477b3e583190f42dea4addcc" ns2:_="" ns4:_="" ns5:_="">
    <xsd:import namespace="bfc2574c-8110-4e43-9784-1ee86de75c6c"/>
    <xsd:import namespace="650fffc6-a86a-4844-afad-966e4497fd3d"/>
    <xsd:import namespace="3874a12c-cb96-46c0-a01b-e4d7e8d40966"/>
    <xsd:element name="properties">
      <xsd:complexType>
        <xsd:sequence>
          <xsd:element name="documentManagement">
            <xsd:complexType>
              <xsd:all>
                <xsd:element ref="ns2:Activity_x0020_Complete_x0020_Date" minOccurs="0"/>
                <xsd:element ref="ns2:LARA_x0020_Status" minOccurs="0"/>
                <xsd:element ref="ns2:Filing_x0020_Date" minOccurs="0"/>
                <xsd:element ref="ns4:CWRMItemRecordState" minOccurs="0"/>
                <xsd:element ref="ns4:CWRMItemRecordCategory" minOccurs="0"/>
                <xsd:element ref="ns4:e94be97ffb024deb9c3d6d978a059d35" minOccurs="0"/>
                <xsd:element ref="ns2:TaxCatchAll" minOccurs="0"/>
                <xsd:element ref="ns2:TaxCatchAllLabel" minOccurs="0"/>
                <xsd:element ref="ns4:CWRMItemRecordStatus" minOccurs="0"/>
                <xsd:element ref="ns4:CWRMItemRecordDeclaredDate" minOccurs="0"/>
                <xsd:element ref="ns4:CWRMItemRecordVital" minOccurs="0"/>
                <xsd:element ref="ns4:CWRMItemRecordData" minOccurs="0"/>
                <xsd:element ref="ns2:fdc7710463144dc19a8992998d0907da" minOccurs="0"/>
                <xsd:element ref="ns2:_dlc_DocId" minOccurs="0"/>
                <xsd:element ref="ns2:_dlc_DocIdUrl" minOccurs="0"/>
                <xsd:element ref="ns2:_dlc_DocIdPersistId" minOccurs="0"/>
                <xsd:element ref="ns4:CWRMItemUniqueId" minOccurs="0"/>
                <xsd:element ref="ns2:o74c417c636446b2936ee46a3b1dd71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2574c-8110-4e43-9784-1ee86de75c6c"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xsd:simpleType>
        <xsd:restriction base="dms:DateTime"/>
      </xsd:simpleType>
    </xsd:element>
    <xsd:element name="LARA_x0020_Status" ma:index="5" nillable="true" ma:displayName="LARA Status" ma:default="Active" ma:format="Dropdown" ma:internalName="LARA_x0020_Status">
      <xsd:simpleType>
        <xsd:restriction base="dms:Choice">
          <xsd:enumeration value="Active"/>
          <xsd:enumeration value="Inactive"/>
        </xsd:restriction>
      </xsd:simpleType>
    </xsd:element>
    <xsd:element name="Filing_x0020_Date" ma:index="6" nillable="true" ma:displayName="AUC Registration Date" ma:format="DateOnly" ma:internalName="Filing_x0020_Date">
      <xsd:simpleType>
        <xsd:restriction base="dms:DateTime"/>
      </xsd:simpleType>
    </xsd:element>
    <xsd:element name="TaxCatchAll" ma:index="10" nillable="true" ma:displayName="Taxonomy Catch All Column" ma:hidden="true" ma:list="4eea8045-af52-47fb-8910-5a8a46b38f49" ma:internalName="TaxCatchAll" ma:showField="CatchAllData"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eea8045-af52-47fb-8910-5a8a46b38f49" ma:internalName="TaxCatchAllLabel" ma:readOnly="true" ma:showField="CatchAllDataLabel"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18" nillable="true" ma:taxonomy="true" ma:internalName="fdc7710463144dc19a8992998d0907da" ma:taxonomyFieldName="Confidentiality_x0020_Classification" ma:displayName="Confidentiality Classification" ma:default="1271;#AESO Internal|fe2129cc-e616-4c1e-9a39-b6921e014562" ma:fieldId="{fdc77104-6314-4dc1-9a89-92998d0907da}" ma:sspId="93371fdb-7bec-4d52-adeb-1166efac0023" ma:termSetId="86da2f9e-e637-434c-a22c-d8de590d1e93"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74c417c636446b2936ee46a3b1dd71d" ma:index="26" nillable="true" ma:taxonomy="true" ma:internalName="o74c417c636446b2936ee46a3b1dd71d" ma:taxonomyFieldName="LARA_x0020_Category0" ma:displayName="LARA Category" ma:default="" ma:fieldId="{874c417c-6364-46b2-936e-e46a3b1dd71d}" ma:sspId="93371fdb-7bec-4d52-adeb-1166efac0023" ma:termSetId="2637bfa7-984d-4f49-a627-0ad3095dbdc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0fffc6-a86a-4844-afad-966e4497fd3d" elementFormDefault="qualified">
    <xsd:import namespace="http://schemas.microsoft.com/office/2006/documentManagement/types"/>
    <xsd:import namespace="http://schemas.microsoft.com/office/infopath/2007/PartnerControls"/>
    <xsd:element name="CWRMItemRecordState" ma:index="7"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8" nillable="true" ma:displayName="Record Category" ma:description="Identifies the current record category for the item." ma:hidden="true" ma:internalName="CWRMItemRecordCategory" ma:readOnly="true">
      <xsd:simpleType>
        <xsd:restriction base="dms:Text"/>
      </xsd:simpleType>
    </xsd:element>
    <xsd:element name="e94be97ffb024deb9c3d6d978a059d35" ma:index="9" nillable="true" ma:taxonomy="true" ma:internalName="CWRMItemRecordClassificationTaxHTField0" ma:taxonomyFieldName="CWRMItemRecordClassification" ma:displayName="Record Classification" ma:fieldId="{e94be97f-fb02-4deb-9c3d-6d978a059d35}" ma:sspId="93371fdb-7bec-4d52-adeb-1166efac0023" ma:termSetId="cdfcbdf3-8cad-4f84-bedc-a05c42b6c044" ma:anchorId="00000000-0000-0000-0000-000000000000" ma:open="false" ma:isKeyword="false">
      <xsd:complexType>
        <xsd:sequence>
          <xsd:element ref="pc:Terms" minOccurs="0" maxOccurs="1"/>
        </xsd:sequence>
      </xsd:complexType>
    </xsd:element>
    <xsd:element name="CWRMItemRecordStatus" ma:index="13"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xsd:simpleType>
        <xsd:restriction base="dms:Note"/>
      </xsd:simpleType>
    </xsd:element>
    <xsd:element name="CWRMItemUniqueId" ma:index="25" nillable="true" ma:displayName="Content ID" ma:description="A universally unique identifier assigned to the item." ma:hidden="true" ma:internalName="CWRMItemUniqu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74a12c-cb96-46c0-a01b-e4d7e8d4096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Collabware CLM Item Unique ID</Name>
    <Synchronization>Synchronous</Synchronization>
    <Type>1</Type>
    <SequenceNumber>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10002</Type>
    <SequenceNumber>10500</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10004</Type>
    <SequenceNumber>10501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10006</Type>
    <SequenceNumber>10502</SequenceNumber>
    <Url/>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Synchronous</Synchronization>
    <Type>3</Type>
    <SequenceNumber>10003</SequenceNumber>
    <Url/>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Url/>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Url/>
    <Assembly>Collabware.SharePoint.RecordsManagement, Version=1.0.0.0, Culture=neutral, PublicKeyToken=801662d3f2b71412</Assembly>
    <Class>Collabware.SharePoint.RecordsManagement.ItemSecurityContentTypeReceiver</Class>
    <Data/>
    <Filter/>
  </Receiver>
  <Receiver>
    <Name/>
    <Synchronization>Synchronous</Synchronization>
    <Type>10001</Type>
    <SequenceNumber>1</SequenceNumber>
    <Url/>
    <Assembly>Collabware.SharePoint.RecordsManagement, Version=1.0.0.0, Culture=neutral, PublicKeyToken=801662d3f2b71412</Assembly>
    <Class>Collabware.SharePoint.RecordsManagement.BeforeVerifyItemAddedReceiver</Class>
    <Data/>
    <Filter/>
  </Receiver>
  <Receiver>
    <Name/>
    <Synchronization>Synchronous</Synchronization>
    <Type>10001</Type>
    <SequenceNumber>9000</SequenceNumber>
    <Url/>
    <Assembly>Collabware.SharePoint.RecordsManagement, Version=1.0.0.0, Culture=neutral, PublicKeyToken=801662d3f2b71412</Assembly>
    <Class>Collabware.SharePoint.RecordsManagement.VerifyItemAddedReceiver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3371fdb-7bec-4d52-adeb-1166efac0023" ContentTypeId="0x010100BC84ACA119491D43B8AEA0C41A758E3B0B06" PreviousValue="false"/>
</file>

<file path=customXml/item5.xml><?xml version="1.0" encoding="utf-8"?>
<p:properties xmlns:p="http://schemas.microsoft.com/office/2006/metadata/properties" xmlns:xsi="http://www.w3.org/2001/XMLSchema-instance" xmlns:pc="http://schemas.microsoft.com/office/infopath/2007/PartnerControls">
  <documentManagement>
    <CWRMItemRecordCategory xmlns="650fffc6-a86a-4844-afad-966e4497fd3d" xsi:nil="true"/>
    <LARA_x0020_Status xmlns="bfc2574c-8110-4e43-9784-1ee86de75c6c">Active</LARA_x0020_Status>
    <CWRMItemUniqueId xmlns="650fffc6-a86a-4844-afad-966e4497fd3d">000000QK9A</CWRMItemUniqueId>
    <CWRMItemRecordState xmlns="650fffc6-a86a-4844-afad-966e4497fd3d" xsi:nil="true"/>
    <CWRMItemRecordDeclaredDate xmlns="650fffc6-a86a-4844-afad-966e4497fd3d" xsi:nil="true"/>
    <_dlc_DocId xmlns="bfc2574c-8110-4e43-9784-1ee86de75c6c">000000QK9A</_dlc_DocId>
    <TaxCatchAll xmlns="bfc2574c-8110-4e43-9784-1ee86de75c6c">
      <Value>1321</Value>
      <Value>1271</Value>
      <Value>1348</Value>
    </TaxCatchAll>
    <e94be97ffb024deb9c3d6d978a059d35 xmlns="650fffc6-a86a-4844-afad-966e4497fd3d">
      <Terms xmlns="http://schemas.microsoft.com/office/infopath/2007/PartnerControls">
        <TermInfo xmlns="http://schemas.microsoft.com/office/infopath/2007/PartnerControls">
          <TermName xmlns="http://schemas.microsoft.com/office/infopath/2007/PartnerControls">REG-00 - Tariff Development and Application Administration</TermName>
          <TermId xmlns="http://schemas.microsoft.com/office/infopath/2007/PartnerControls">a0f21eea-a95c-4984-bbc5-f702b4b89e29</TermId>
        </TermInfo>
      </Terms>
    </e94be97ffb024deb9c3d6d978a059d35>
    <CWRMItemRecordVital xmlns="650fffc6-a86a-4844-afad-966e4497fd3d">false</CWRMItemRecordVital>
    <Filing_x0020_Date xmlns="bfc2574c-8110-4e43-9784-1ee86de75c6c" xsi:nil="true"/>
    <CWRMItemRecordStatus xmlns="650fffc6-a86a-4844-afad-966e4497fd3d" xsi:nil="true"/>
    <o74c417c636446b2936ee46a3b1dd71d xmlns="bfc2574c-8110-4e43-9784-1ee86de75c6c">
      <Terms xmlns="http://schemas.microsoft.com/office/infopath/2007/PartnerControls">
        <TermInfo xmlns="http://schemas.microsoft.com/office/infopath/2007/PartnerControls">
          <TermName xmlns="http://schemas.microsoft.com/office/infopath/2007/PartnerControls">Stakeholder Engagement</TermName>
          <TermId xmlns="http://schemas.microsoft.com/office/infopath/2007/PartnerControls">6220e8f1-840d-40ad-b65f-2194c8e12464</TermId>
        </TermInfo>
      </Terms>
    </o74c417c636446b2936ee46a3b1dd71d>
    <CWRMItemRecordData xmlns="650fffc6-a86a-4844-afad-966e4497fd3d">&lt;?xml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Activity_x0020_Complete_x0020_Date xmlns="bfc2574c-8110-4e43-9784-1ee86de75c6c" xsi:nil="true"/>
    <_dlc_DocIdUrl xmlns="bfc2574c-8110-4e43-9784-1ee86de75c6c">
      <Url>https://share.aeso.ca/sites/records-law/LARA/_layouts/15/DocIdRedir.aspx?ID=000000QK9A</Url>
      <Description>000000QK9A</Description>
    </_dlc_DocIdUrl>
    <fdc7710463144dc19a8992998d0907da xmlns="bfc2574c-8110-4e43-9784-1ee86de75c6c">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documentManagement>
</p:properties>
</file>

<file path=customXml/itemProps1.xml><?xml version="1.0" encoding="utf-8"?>
<ds:datastoreItem xmlns:ds="http://schemas.openxmlformats.org/officeDocument/2006/customXml" ds:itemID="{09EEC8E7-99C4-4C4E-B335-A8C801D3DECF}"/>
</file>

<file path=customXml/itemProps2.xml><?xml version="1.0" encoding="utf-8"?>
<ds:datastoreItem xmlns:ds="http://schemas.openxmlformats.org/officeDocument/2006/customXml" ds:itemID="{836DDEB6-3E12-4B2B-BD6E-76DBAD25DDA6}"/>
</file>

<file path=customXml/itemProps3.xml><?xml version="1.0" encoding="utf-8"?>
<ds:datastoreItem xmlns:ds="http://schemas.openxmlformats.org/officeDocument/2006/customXml" ds:itemID="{19A8673D-9255-4A24-963E-3FE067B6FC05}"/>
</file>

<file path=customXml/itemProps4.xml><?xml version="1.0" encoding="utf-8"?>
<ds:datastoreItem xmlns:ds="http://schemas.openxmlformats.org/officeDocument/2006/customXml" ds:itemID="{E68FB8A5-4BF3-463F-ABEE-56DE27DFE7F4}"/>
</file>

<file path=customXml/itemProps5.xml><?xml version="1.0" encoding="utf-8"?>
<ds:datastoreItem xmlns:ds="http://schemas.openxmlformats.org/officeDocument/2006/customXml" ds:itemID="{584A2DEB-F374-4885-8D77-15EE196709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 </vt:lpstr>
      <vt:lpstr>Estimated Rate Calculations</vt:lpstr>
      <vt:lpstr>'Estimated Rate Calculations'!Print_Area</vt:lpstr>
      <vt:lpstr>'Information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2021-04-13T21:57:38Z</dcterms:created>
  <dcterms:modified xsi:type="dcterms:W3CDTF">2021-04-13T21:57:58Z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0x010100BC84ACA119491D43B8AEA0C41A758E3B0B0600B71823FBBAAF324C862125ECD85A823C</vt:lpwstr>
  </property>
  <property fmtid="{D5CDD505-2E9C-101B-9397-08002B2CF9AE}" pid="3" name="Confidentiality Classification">
    <vt:lpwstr>1271;#AESO Internal|fe2129cc-e616-4c1e-9a39-b6921e014562</vt:lpwstr>
  </property>
  <property fmtid="{D5CDD505-2E9C-101B-9397-08002B2CF9AE}" pid="4" name="_dlc_DocIdItemGuid">
    <vt:lpwstr>60bc6180-ffaf-4ab4-8f81-5ee076958c61</vt:lpwstr>
  </property>
  <property fmtid="{D5CDD505-2E9C-101B-9397-08002B2CF9AE}" pid="5" name="CWRMItemRecordClassification">
    <vt:lpwstr>1321;#REG-00 - Tariff Development and Application Administration|a0f21eea-a95c-4984-bbc5-f702b4b89e29</vt:lpwstr>
  </property>
  <property fmtid="{D5CDD505-2E9C-101B-9397-08002B2CF9AE}" pid="6" name="LARA Category0">
    <vt:lpwstr>1348;#Stakeholder Engagement|6220e8f1-840d-40ad-b65f-2194c8e12464</vt:lpwstr>
  </property>
</Properties>
</file>