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8945" yWindow="0" windowWidth="2385" windowHeight="9945" tabRatio="858" activeTab="2"/>
  </bookViews>
  <sheets>
    <sheet name="Versioning" sheetId="177" r:id="rId1"/>
    <sheet name="Introduction" sheetId="117" r:id="rId2"/>
    <sheet name="Bill Projection" sheetId="174" r:id="rId3"/>
    <sheet name="Bill Charts" sheetId="176" r:id="rId4"/>
    <sheet name="Rates" sheetId="49" r:id="rId5"/>
    <sheet name="Assumptions" sheetId="1" r:id="rId6"/>
    <sheet name="Existing" sheetId="28" r:id="rId7"/>
    <sheet name="Forecast" sheetId="58" r:id="rId8"/>
    <sheet name="LTP20Cost" sheetId="17" r:id="rId9"/>
    <sheet name="LTP20RevReq" sheetId="54" r:id="rId10"/>
  </sheets>
  <externalReferences>
    <externalReference r:id="rId11"/>
  </externalReferences>
  <definedNames>
    <definedName name="_xlnm.Print_Area" localSheetId="5">Assumptions!$A$1:$X$141</definedName>
    <definedName name="_xlnm.Print_Area" localSheetId="3">'Bill Charts'!$A$1:$AA$77</definedName>
    <definedName name="_xlnm.Print_Area" localSheetId="2">'Bill Projection'!$A$1:$AA$56</definedName>
    <definedName name="_xlnm.Print_Area" localSheetId="6">Existing!$A$1:$V$52</definedName>
    <definedName name="_xlnm.Print_Area" localSheetId="7">Forecast!$A$1:$V$55</definedName>
    <definedName name="_xlnm.Print_Area" localSheetId="1">Introduction!$A$1:$J$93</definedName>
    <definedName name="_xlnm.Print_Area" localSheetId="8">LTP20Cost!$A$1:$S$23</definedName>
    <definedName name="_xlnm.Print_Area" localSheetId="9">LTP20RevReq!$A$1:$W$40</definedName>
    <definedName name="_xlnm.Print_Area" localSheetId="4">Rates!$A$1:$V$116</definedName>
    <definedName name="solver_adj" localSheetId="6" hidden="1">Existing!#REF!</definedName>
    <definedName name="solver_cvg" localSheetId="6" hidden="1">0.0001</definedName>
    <definedName name="solver_drv" localSheetId="6" hidden="1">1</definedName>
    <definedName name="solver_eng" localSheetId="6" hidden="1">1</definedName>
    <definedName name="solver_est" localSheetId="6" hidden="1">1</definedName>
    <definedName name="solver_itr" localSheetId="6" hidden="1">2147483647</definedName>
    <definedName name="solver_mip" localSheetId="6" hidden="1">2147483647</definedName>
    <definedName name="solver_mni" localSheetId="6" hidden="1">30</definedName>
    <definedName name="solver_mrt" localSheetId="6" hidden="1">0.075</definedName>
    <definedName name="solver_msl" localSheetId="6" hidden="1">2</definedName>
    <definedName name="solver_neg" localSheetId="6" hidden="1">2</definedName>
    <definedName name="solver_nod" localSheetId="6" hidden="1">2147483647</definedName>
    <definedName name="solver_num" localSheetId="6" hidden="1">0</definedName>
    <definedName name="solver_nwt" localSheetId="6" hidden="1">1</definedName>
    <definedName name="solver_opt" localSheetId="6" hidden="1">Existing!#REF!</definedName>
    <definedName name="solver_pre" localSheetId="6" hidden="1">0.000001</definedName>
    <definedName name="solver_rbv" localSheetId="6" hidden="1">1</definedName>
    <definedName name="solver_rlx" localSheetId="6" hidden="1">2</definedName>
    <definedName name="solver_rsd" localSheetId="6" hidden="1">0</definedName>
    <definedName name="solver_scl" localSheetId="6" hidden="1">1</definedName>
    <definedName name="solver_sho" localSheetId="6" hidden="1">2</definedName>
    <definedName name="solver_ssz" localSheetId="6" hidden="1">100</definedName>
    <definedName name="solver_tim" localSheetId="6" hidden="1">2147483647</definedName>
    <definedName name="solver_tol" localSheetId="6" hidden="1">0.01</definedName>
    <definedName name="solver_typ" localSheetId="6" hidden="1">3</definedName>
    <definedName name="solver_val" localSheetId="6" hidden="1">380.4</definedName>
    <definedName name="solver_ver" localSheetId="6" hidden="1">3</definedName>
  </definedNames>
  <calcPr calcId="145621"/>
</workbook>
</file>

<file path=xl/calcChain.xml><?xml version="1.0" encoding="utf-8"?>
<calcChain xmlns="http://schemas.openxmlformats.org/spreadsheetml/2006/main">
  <c r="H51" i="174" l="1"/>
  <c r="H44" i="174"/>
  <c r="H42" i="174"/>
  <c r="H35" i="174"/>
  <c r="H33" i="174"/>
  <c r="H26" i="174"/>
  <c r="H19" i="174"/>
  <c r="H18" i="174"/>
  <c r="H25" i="174"/>
  <c r="I16" i="174" l="1"/>
  <c r="I30" i="174" s="1"/>
  <c r="J16" i="174"/>
  <c r="J30" i="174" s="1"/>
  <c r="K16" i="174"/>
  <c r="L16" i="174"/>
  <c r="L30" i="174" s="1"/>
  <c r="M16" i="174"/>
  <c r="M30" i="174" s="1"/>
  <c r="N16" i="174"/>
  <c r="N30" i="174" s="1"/>
  <c r="O16" i="174"/>
  <c r="O30" i="174" s="1"/>
  <c r="P16" i="174"/>
  <c r="Q16" i="174"/>
  <c r="R16" i="174"/>
  <c r="R30" i="174" s="1"/>
  <c r="S16" i="174"/>
  <c r="T16" i="174"/>
  <c r="T48" i="174" s="1"/>
  <c r="U16" i="174"/>
  <c r="U48" i="174" s="1"/>
  <c r="V16" i="174"/>
  <c r="V48" i="174" s="1"/>
  <c r="W16" i="174"/>
  <c r="W30" i="174" s="1"/>
  <c r="X16" i="174"/>
  <c r="Y16" i="174"/>
  <c r="Y30" i="174" s="1"/>
  <c r="Z16" i="174"/>
  <c r="Z48" i="174" s="1"/>
  <c r="AA16" i="174"/>
  <c r="I22" i="174"/>
  <c r="J22" i="174"/>
  <c r="K22" i="174"/>
  <c r="L22" i="174"/>
  <c r="M22" i="174"/>
  <c r="N22" i="174"/>
  <c r="O22" i="174"/>
  <c r="P22" i="174"/>
  <c r="Q22" i="174"/>
  <c r="R22" i="174"/>
  <c r="S22" i="174"/>
  <c r="T22" i="174"/>
  <c r="U22" i="174"/>
  <c r="V22" i="174"/>
  <c r="W22" i="174"/>
  <c r="X22" i="174"/>
  <c r="Y22" i="174"/>
  <c r="Z22" i="174"/>
  <c r="AA22" i="174"/>
  <c r="I23" i="174"/>
  <c r="J23" i="174"/>
  <c r="K23" i="174"/>
  <c r="L23" i="174"/>
  <c r="M23" i="174"/>
  <c r="N23" i="174"/>
  <c r="O23" i="174"/>
  <c r="P23" i="174"/>
  <c r="Q23" i="174"/>
  <c r="R23" i="174"/>
  <c r="S23" i="174"/>
  <c r="T23" i="174"/>
  <c r="U23" i="174"/>
  <c r="V23" i="174"/>
  <c r="W23" i="174"/>
  <c r="X23" i="174"/>
  <c r="Y23" i="174"/>
  <c r="Z23" i="174"/>
  <c r="AA23" i="174"/>
  <c r="I24" i="174"/>
  <c r="J24" i="174"/>
  <c r="K24" i="174"/>
  <c r="L24" i="174"/>
  <c r="M24" i="174"/>
  <c r="N24" i="174"/>
  <c r="O24" i="174"/>
  <c r="P24" i="174"/>
  <c r="Q24" i="174"/>
  <c r="R24" i="174"/>
  <c r="S24" i="174"/>
  <c r="T24" i="174"/>
  <c r="U24" i="174"/>
  <c r="V24" i="174"/>
  <c r="W24" i="174"/>
  <c r="X24" i="174"/>
  <c r="Y24" i="174"/>
  <c r="Z24" i="174"/>
  <c r="AA24" i="174"/>
  <c r="I27" i="174"/>
  <c r="J27" i="174"/>
  <c r="K27" i="174"/>
  <c r="L27" i="174"/>
  <c r="M27" i="174"/>
  <c r="N27" i="174"/>
  <c r="O27" i="174"/>
  <c r="P27" i="174"/>
  <c r="Q27" i="174"/>
  <c r="R27" i="174"/>
  <c r="S27" i="174"/>
  <c r="T27" i="174"/>
  <c r="U27" i="174"/>
  <c r="V27" i="174"/>
  <c r="W27" i="174"/>
  <c r="X27" i="174"/>
  <c r="Y27" i="174"/>
  <c r="Z27" i="174"/>
  <c r="AA27" i="174"/>
  <c r="K30" i="174"/>
  <c r="Q30" i="174"/>
  <c r="S30" i="174"/>
  <c r="T30" i="174"/>
  <c r="U30" i="174"/>
  <c r="V30" i="174"/>
  <c r="AA30" i="174"/>
  <c r="I36" i="174"/>
  <c r="J36" i="174"/>
  <c r="K36" i="174"/>
  <c r="L36" i="174"/>
  <c r="M36" i="174"/>
  <c r="N36" i="174"/>
  <c r="O36" i="174"/>
  <c r="P36" i="174"/>
  <c r="Q36" i="174"/>
  <c r="R36" i="174"/>
  <c r="S36" i="174"/>
  <c r="T36" i="174"/>
  <c r="U36" i="174"/>
  <c r="V36" i="174"/>
  <c r="W36" i="174"/>
  <c r="X36" i="174"/>
  <c r="Y36" i="174"/>
  <c r="Z36" i="174"/>
  <c r="AA36" i="174"/>
  <c r="I39" i="174"/>
  <c r="J39" i="174"/>
  <c r="K39" i="174"/>
  <c r="L39" i="174"/>
  <c r="M39" i="174"/>
  <c r="N39" i="174"/>
  <c r="O39" i="174"/>
  <c r="P39" i="174"/>
  <c r="Q39" i="174"/>
  <c r="R39" i="174"/>
  <c r="S39" i="174"/>
  <c r="T39" i="174"/>
  <c r="U39" i="174"/>
  <c r="V39" i="174"/>
  <c r="W39" i="174"/>
  <c r="X39" i="174"/>
  <c r="Y39" i="174"/>
  <c r="Z39" i="174"/>
  <c r="AA39" i="174"/>
  <c r="I45" i="174"/>
  <c r="J45" i="174"/>
  <c r="K45" i="174"/>
  <c r="L45" i="174"/>
  <c r="M45" i="174"/>
  <c r="N45" i="174"/>
  <c r="O45" i="174"/>
  <c r="P45" i="174"/>
  <c r="Q45" i="174"/>
  <c r="R45" i="174"/>
  <c r="S45" i="174"/>
  <c r="T45" i="174"/>
  <c r="U45" i="174"/>
  <c r="V45" i="174"/>
  <c r="W45" i="174"/>
  <c r="X45" i="174"/>
  <c r="Y45" i="174"/>
  <c r="Z45" i="174"/>
  <c r="AA45" i="174"/>
  <c r="K48" i="174"/>
  <c r="L48" i="174"/>
  <c r="M48" i="174"/>
  <c r="N48" i="174"/>
  <c r="Q48" i="174"/>
  <c r="S48" i="174"/>
  <c r="Y48" i="174"/>
  <c r="AA48" i="174"/>
  <c r="I54" i="174"/>
  <c r="J54" i="174"/>
  <c r="K54" i="174"/>
  <c r="L54" i="174"/>
  <c r="M54" i="174"/>
  <c r="N54" i="174"/>
  <c r="O54" i="174"/>
  <c r="P54" i="174"/>
  <c r="Q54" i="174"/>
  <c r="R54" i="174"/>
  <c r="S54" i="174"/>
  <c r="T54" i="174"/>
  <c r="U54" i="174"/>
  <c r="V54" i="174"/>
  <c r="W54" i="174"/>
  <c r="X54" i="174"/>
  <c r="Y54" i="174"/>
  <c r="Z54" i="174"/>
  <c r="AA54" i="174"/>
  <c r="H36" i="174"/>
  <c r="H27" i="174"/>
  <c r="H40" i="174"/>
  <c r="H20" i="174"/>
  <c r="H21" i="174"/>
  <c r="H23" i="174"/>
  <c r="H22" i="174"/>
  <c r="H24" i="174"/>
  <c r="H50" i="174"/>
  <c r="H49" i="174"/>
  <c r="H41" i="174"/>
  <c r="H32" i="174"/>
  <c r="H31" i="174"/>
  <c r="H34" i="174" l="1"/>
  <c r="H37" i="174" s="1"/>
  <c r="J48" i="174"/>
  <c r="X30" i="174"/>
  <c r="X48" i="174"/>
  <c r="P30" i="174"/>
  <c r="P48" i="174"/>
  <c r="I48" i="174"/>
  <c r="R48" i="174"/>
  <c r="Z30" i="174"/>
  <c r="W48" i="174"/>
  <c r="O48" i="174"/>
  <c r="A4" i="117"/>
  <c r="A4" i="174"/>
  <c r="A4" i="176"/>
  <c r="A4" i="54"/>
  <c r="A4" i="17"/>
  <c r="A4" i="58"/>
  <c r="A4" i="28"/>
  <c r="A4" i="49"/>
  <c r="A2" i="177"/>
  <c r="A3" i="177"/>
  <c r="A4" i="177"/>
  <c r="A1" i="177"/>
  <c r="A9" i="177"/>
  <c r="A10" i="177" s="1"/>
  <c r="A11" i="177" s="1"/>
  <c r="A12" i="177" s="1"/>
  <c r="A13" i="177" s="1"/>
  <c r="A14" i="177" s="1"/>
  <c r="A15" i="177" s="1"/>
  <c r="A8" i="177"/>
  <c r="F25" i="1" l="1"/>
  <c r="E25" i="1"/>
  <c r="E27" i="1" s="1"/>
  <c r="F18" i="17"/>
  <c r="H39" i="174" l="1"/>
  <c r="H16" i="174"/>
  <c r="H30" i="174" s="1"/>
  <c r="A23" i="17"/>
  <c r="E11" i="58"/>
  <c r="A11" i="58"/>
  <c r="F18" i="1"/>
  <c r="E21" i="28"/>
  <c r="E133" i="1"/>
  <c r="E22" i="58" s="1"/>
  <c r="F23" i="28"/>
  <c r="F52" i="28" s="1"/>
  <c r="G23" i="28"/>
  <c r="G52" i="28" s="1"/>
  <c r="H23" i="28"/>
  <c r="H52" i="28" s="1"/>
  <c r="I23" i="28"/>
  <c r="I52" i="28" s="1"/>
  <c r="J23" i="28"/>
  <c r="J52" i="28" s="1"/>
  <c r="K23" i="28"/>
  <c r="K52" i="28" s="1"/>
  <c r="L23" i="28"/>
  <c r="L52" i="28" s="1"/>
  <c r="M23" i="28"/>
  <c r="M52" i="28" s="1"/>
  <c r="N23" i="28"/>
  <c r="N52" i="28" s="1"/>
  <c r="O23" i="28"/>
  <c r="O52" i="28" s="1"/>
  <c r="P23" i="28"/>
  <c r="P52" i="28" s="1"/>
  <c r="Q23" i="28"/>
  <c r="Q52" i="28" s="1"/>
  <c r="R23" i="28"/>
  <c r="R52" i="28" s="1"/>
  <c r="S23" i="28"/>
  <c r="S52" i="28" s="1"/>
  <c r="T23" i="28"/>
  <c r="T52" i="28" s="1"/>
  <c r="U23" i="28"/>
  <c r="U52" i="28" s="1"/>
  <c r="V23" i="28"/>
  <c r="V52" i="28" s="1"/>
  <c r="W23" i="28"/>
  <c r="W52" i="28" s="1"/>
  <c r="X23" i="28"/>
  <c r="X52" i="28" s="1"/>
  <c r="F22" i="28"/>
  <c r="F37" i="28" s="1"/>
  <c r="G22" i="28"/>
  <c r="G37" i="28" s="1"/>
  <c r="H22" i="28"/>
  <c r="H37" i="28" s="1"/>
  <c r="I22" i="28"/>
  <c r="I37" i="28" s="1"/>
  <c r="J22" i="28"/>
  <c r="J37" i="28" s="1"/>
  <c r="K22" i="28"/>
  <c r="K37" i="28" s="1"/>
  <c r="L22" i="28"/>
  <c r="L37" i="28" s="1"/>
  <c r="M22" i="28"/>
  <c r="M37" i="28" s="1"/>
  <c r="N22" i="28"/>
  <c r="N37" i="28" s="1"/>
  <c r="O22" i="28"/>
  <c r="O37" i="28" s="1"/>
  <c r="P22" i="28"/>
  <c r="P37" i="28" s="1"/>
  <c r="Q22" i="28"/>
  <c r="Q37" i="28" s="1"/>
  <c r="R22" i="28"/>
  <c r="R37" i="28" s="1"/>
  <c r="S22" i="28"/>
  <c r="S37" i="28" s="1"/>
  <c r="T22" i="28"/>
  <c r="T37" i="28" s="1"/>
  <c r="U22" i="28"/>
  <c r="U37" i="28" s="1"/>
  <c r="V22" i="28"/>
  <c r="V37" i="28" s="1"/>
  <c r="W22" i="28"/>
  <c r="W37" i="28" s="1"/>
  <c r="X22" i="28"/>
  <c r="X37" i="28" s="1"/>
  <c r="E26" i="28"/>
  <c r="E23" i="28"/>
  <c r="E52" i="28" s="1"/>
  <c r="E22" i="28"/>
  <c r="E37" i="28" s="1"/>
  <c r="E46" i="28"/>
  <c r="E45" i="28"/>
  <c r="E43" i="28"/>
  <c r="E30" i="28"/>
  <c r="H48" i="174" l="1"/>
  <c r="F11" i="58"/>
  <c r="G18" i="1"/>
  <c r="F76" i="49"/>
  <c r="G76" i="49"/>
  <c r="H76" i="49"/>
  <c r="I76" i="49"/>
  <c r="J76" i="49"/>
  <c r="K76" i="49"/>
  <c r="L76" i="49"/>
  <c r="M76" i="49"/>
  <c r="N76" i="49"/>
  <c r="O76" i="49"/>
  <c r="P76" i="49"/>
  <c r="Q76" i="49"/>
  <c r="R76" i="49"/>
  <c r="S76" i="49"/>
  <c r="T76" i="49"/>
  <c r="U76" i="49"/>
  <c r="V76" i="49"/>
  <c r="W76" i="49"/>
  <c r="X76" i="49"/>
  <c r="F119" i="49"/>
  <c r="G119" i="49"/>
  <c r="H119" i="49"/>
  <c r="I119" i="49"/>
  <c r="J119" i="49"/>
  <c r="K119" i="49"/>
  <c r="L119" i="49"/>
  <c r="M119" i="49"/>
  <c r="N119" i="49"/>
  <c r="O119" i="49"/>
  <c r="P119" i="49"/>
  <c r="Q119" i="49"/>
  <c r="R119" i="49"/>
  <c r="S119" i="49"/>
  <c r="T119" i="49"/>
  <c r="U119" i="49"/>
  <c r="V119" i="49"/>
  <c r="W119" i="49"/>
  <c r="X119" i="49"/>
  <c r="F124" i="49"/>
  <c r="G124" i="49"/>
  <c r="H124" i="49"/>
  <c r="I124" i="49"/>
  <c r="J124" i="49"/>
  <c r="K124" i="49"/>
  <c r="L124" i="49"/>
  <c r="M124" i="49"/>
  <c r="N124" i="49"/>
  <c r="O124" i="49"/>
  <c r="P124" i="49"/>
  <c r="Q124" i="49"/>
  <c r="R124" i="49"/>
  <c r="S124" i="49"/>
  <c r="T124" i="49"/>
  <c r="U124" i="49"/>
  <c r="V124" i="49"/>
  <c r="W124" i="49"/>
  <c r="X124" i="49"/>
  <c r="F71" i="49"/>
  <c r="G71" i="49"/>
  <c r="H71" i="49"/>
  <c r="I71" i="49"/>
  <c r="J71" i="49"/>
  <c r="K71" i="49"/>
  <c r="L71" i="49"/>
  <c r="M71" i="49"/>
  <c r="N71" i="49"/>
  <c r="O71" i="49"/>
  <c r="P71" i="49"/>
  <c r="Q71" i="49"/>
  <c r="R71" i="49"/>
  <c r="S71" i="49"/>
  <c r="T71" i="49"/>
  <c r="U71" i="49"/>
  <c r="V71" i="49"/>
  <c r="W71" i="49"/>
  <c r="X71" i="49"/>
  <c r="W12" i="49"/>
  <c r="X12" i="49"/>
  <c r="W29" i="49"/>
  <c r="X29" i="49"/>
  <c r="W41" i="49"/>
  <c r="X41" i="49"/>
  <c r="W56" i="49"/>
  <c r="X56" i="49"/>
  <c r="W59" i="49"/>
  <c r="X59" i="49"/>
  <c r="W62" i="49"/>
  <c r="X62" i="49"/>
  <c r="W65" i="49"/>
  <c r="X65" i="49"/>
  <c r="W82" i="49"/>
  <c r="X82" i="49" s="1"/>
  <c r="W97" i="49"/>
  <c r="X97" i="49" s="1"/>
  <c r="W115" i="49"/>
  <c r="X115" i="49"/>
  <c r="X129" i="49" s="1"/>
  <c r="W129" i="49"/>
  <c r="H18" i="1" l="1"/>
  <c r="G11" i="58"/>
  <c r="E110" i="1"/>
  <c r="E125" i="1"/>
  <c r="I18" i="1" l="1"/>
  <c r="H11" i="58"/>
  <c r="X60" i="1"/>
  <c r="E16" i="28"/>
  <c r="E15" i="28"/>
  <c r="E14" i="28"/>
  <c r="E13" i="28"/>
  <c r="E12" i="28"/>
  <c r="E11" i="28"/>
  <c r="E10" i="28"/>
  <c r="E21" i="58"/>
  <c r="E16" i="58"/>
  <c r="E15" i="58"/>
  <c r="E14" i="58"/>
  <c r="E13" i="58"/>
  <c r="E12" i="58"/>
  <c r="E10" i="58"/>
  <c r="G20" i="54"/>
  <c r="H20" i="54"/>
  <c r="I20" i="54"/>
  <c r="J20" i="54"/>
  <c r="K20" i="54"/>
  <c r="L20" i="54"/>
  <c r="M20" i="54"/>
  <c r="N20" i="54"/>
  <c r="O20" i="54"/>
  <c r="P20" i="54"/>
  <c r="Q20" i="54"/>
  <c r="R20" i="54"/>
  <c r="S20" i="54"/>
  <c r="T20" i="54"/>
  <c r="U20" i="54"/>
  <c r="V20" i="54"/>
  <c r="W20" i="54"/>
  <c r="X20" i="54"/>
  <c r="G26" i="54"/>
  <c r="H26" i="54"/>
  <c r="I26" i="54"/>
  <c r="J26" i="54"/>
  <c r="K26" i="54"/>
  <c r="L26" i="54"/>
  <c r="M26" i="54"/>
  <c r="N26" i="54"/>
  <c r="O26" i="54"/>
  <c r="P26" i="54"/>
  <c r="Q26" i="54"/>
  <c r="R26" i="54"/>
  <c r="S26" i="54"/>
  <c r="T26" i="54"/>
  <c r="U26" i="54"/>
  <c r="V26" i="54"/>
  <c r="W26" i="54"/>
  <c r="X26" i="54"/>
  <c r="G32" i="54"/>
  <c r="H32" i="54"/>
  <c r="I32" i="54"/>
  <c r="J32" i="54"/>
  <c r="K32" i="54"/>
  <c r="L32" i="54"/>
  <c r="M32" i="54"/>
  <c r="N32" i="54"/>
  <c r="O32" i="54"/>
  <c r="P32" i="54"/>
  <c r="Q32" i="54"/>
  <c r="R32" i="54"/>
  <c r="S32" i="54"/>
  <c r="T32" i="54"/>
  <c r="U32" i="54"/>
  <c r="V32" i="54"/>
  <c r="W32" i="54"/>
  <c r="X32" i="54"/>
  <c r="G37" i="54"/>
  <c r="H37" i="54"/>
  <c r="I37" i="54"/>
  <c r="J37" i="54"/>
  <c r="K37" i="54"/>
  <c r="L37" i="54"/>
  <c r="M37" i="54"/>
  <c r="N37" i="54"/>
  <c r="O37" i="54"/>
  <c r="P37" i="54"/>
  <c r="Q37" i="54"/>
  <c r="R37" i="54"/>
  <c r="S37" i="54"/>
  <c r="T37" i="54"/>
  <c r="U37" i="54"/>
  <c r="V37" i="54"/>
  <c r="W37" i="54"/>
  <c r="X37" i="54"/>
  <c r="F20" i="54"/>
  <c r="F26" i="54"/>
  <c r="F32" i="54"/>
  <c r="F37" i="54"/>
  <c r="W59" i="1"/>
  <c r="X59" i="1"/>
  <c r="W60" i="1"/>
  <c r="W51" i="1"/>
  <c r="W52" i="1" s="1"/>
  <c r="X51" i="1"/>
  <c r="X52" i="1" s="1"/>
  <c r="W41" i="1"/>
  <c r="X41" i="1"/>
  <c r="W34" i="1"/>
  <c r="W35" i="1" s="1"/>
  <c r="W92" i="49" s="1"/>
  <c r="X34" i="1"/>
  <c r="X35" i="1" s="1"/>
  <c r="X92" i="49" s="1"/>
  <c r="W9" i="58"/>
  <c r="X9" i="58"/>
  <c r="W20" i="58"/>
  <c r="X20" i="58"/>
  <c r="W27" i="58"/>
  <c r="X27" i="58"/>
  <c r="W35" i="58"/>
  <c r="X35" i="58"/>
  <c r="W41" i="58"/>
  <c r="X41" i="58"/>
  <c r="W47" i="58"/>
  <c r="X47" i="58"/>
  <c r="W52" i="58"/>
  <c r="X52" i="58"/>
  <c r="W7" i="54"/>
  <c r="X7" i="54"/>
  <c r="X12" i="54" s="1"/>
  <c r="W12" i="54"/>
  <c r="T9" i="17"/>
  <c r="U9" i="17" s="1"/>
  <c r="T18" i="17"/>
  <c r="T17" i="17"/>
  <c r="U17" i="17" s="1"/>
  <c r="U18" i="17"/>
  <c r="T22" i="17"/>
  <c r="U22" i="17"/>
  <c r="E34" i="1"/>
  <c r="E35" i="1" s="1"/>
  <c r="G12" i="49"/>
  <c r="H12" i="49" s="1"/>
  <c r="I12" i="49" s="1"/>
  <c r="J12" i="49" s="1"/>
  <c r="K12" i="49" s="1"/>
  <c r="L12" i="49" s="1"/>
  <c r="M12" i="49" s="1"/>
  <c r="N12" i="49" s="1"/>
  <c r="O12" i="49" s="1"/>
  <c r="P12" i="49" s="1"/>
  <c r="Q12" i="49" s="1"/>
  <c r="R12" i="49" s="1"/>
  <c r="S12" i="49" s="1"/>
  <c r="T12" i="49" s="1"/>
  <c r="U12" i="49" s="1"/>
  <c r="V12" i="49" s="1"/>
  <c r="F12" i="49"/>
  <c r="X65" i="1" l="1"/>
  <c r="W65" i="1"/>
  <c r="X83" i="49"/>
  <c r="X93" i="49"/>
  <c r="X89" i="49"/>
  <c r="X85" i="49"/>
  <c r="X84" i="49"/>
  <c r="X91" i="49"/>
  <c r="X90" i="49"/>
  <c r="X86" i="49"/>
  <c r="X87" i="49"/>
  <c r="X88" i="49"/>
  <c r="W84" i="49"/>
  <c r="W86" i="49"/>
  <c r="W87" i="49"/>
  <c r="W89" i="49"/>
  <c r="W93" i="49"/>
  <c r="W85" i="49"/>
  <c r="W83" i="49"/>
  <c r="W90" i="49"/>
  <c r="W88" i="49"/>
  <c r="W91" i="49"/>
  <c r="J18" i="1"/>
  <c r="I11" i="58"/>
  <c r="E71" i="49"/>
  <c r="E76" i="49" s="1"/>
  <c r="E115" i="49"/>
  <c r="E129" i="49" s="1"/>
  <c r="E97" i="49"/>
  <c r="E82" i="49"/>
  <c r="E65" i="49"/>
  <c r="E62" i="49"/>
  <c r="E59" i="49"/>
  <c r="E56" i="49"/>
  <c r="E49" i="49"/>
  <c r="E41" i="49"/>
  <c r="E45" i="49" s="1"/>
  <c r="K18" i="1" l="1"/>
  <c r="J11" i="58"/>
  <c r="E119" i="49"/>
  <c r="E124" i="49"/>
  <c r="B22" i="17"/>
  <c r="B17" i="17"/>
  <c r="K11" i="58" l="1"/>
  <c r="L18" i="1"/>
  <c r="E116" i="1"/>
  <c r="F116" i="1" s="1"/>
  <c r="G116" i="1" s="1"/>
  <c r="H116" i="1" s="1"/>
  <c r="I116" i="1" s="1"/>
  <c r="J116" i="1" s="1"/>
  <c r="K116" i="1" s="1"/>
  <c r="L116" i="1" s="1"/>
  <c r="M116" i="1" s="1"/>
  <c r="N116" i="1" s="1"/>
  <c r="O116" i="1" s="1"/>
  <c r="P116" i="1" s="1"/>
  <c r="Q116" i="1" s="1"/>
  <c r="R116" i="1" s="1"/>
  <c r="S116" i="1" s="1"/>
  <c r="T116" i="1" s="1"/>
  <c r="U116" i="1" s="1"/>
  <c r="V116" i="1" s="1"/>
  <c r="W116" i="1" s="1"/>
  <c r="X116" i="1" s="1"/>
  <c r="F110" i="1"/>
  <c r="G110" i="1" s="1"/>
  <c r="H110" i="1" s="1"/>
  <c r="I110" i="1" s="1"/>
  <c r="J110" i="1" s="1"/>
  <c r="K110" i="1" s="1"/>
  <c r="L110" i="1" s="1"/>
  <c r="M110" i="1" s="1"/>
  <c r="N110" i="1" s="1"/>
  <c r="O110" i="1" s="1"/>
  <c r="P110" i="1" s="1"/>
  <c r="Q110" i="1" s="1"/>
  <c r="R110" i="1" s="1"/>
  <c r="S110" i="1" s="1"/>
  <c r="T110" i="1" s="1"/>
  <c r="U110" i="1" s="1"/>
  <c r="V110" i="1" s="1"/>
  <c r="W110" i="1" s="1"/>
  <c r="X110" i="1" s="1"/>
  <c r="A78" i="49"/>
  <c r="A77" i="49"/>
  <c r="A73" i="49"/>
  <c r="A72" i="49"/>
  <c r="F115" i="1"/>
  <c r="G115" i="1" s="1"/>
  <c r="H115" i="1" s="1"/>
  <c r="I115" i="1" s="1"/>
  <c r="J115" i="1" s="1"/>
  <c r="K115" i="1" s="1"/>
  <c r="L115" i="1" s="1"/>
  <c r="M115" i="1" s="1"/>
  <c r="N115" i="1" s="1"/>
  <c r="O115" i="1" s="1"/>
  <c r="P115" i="1" s="1"/>
  <c r="Q115" i="1" s="1"/>
  <c r="R115" i="1" s="1"/>
  <c r="S115" i="1" s="1"/>
  <c r="T115" i="1" s="1"/>
  <c r="U115" i="1" s="1"/>
  <c r="V115" i="1" s="1"/>
  <c r="W115" i="1" s="1"/>
  <c r="X115" i="1" s="1"/>
  <c r="F109" i="1"/>
  <c r="G109" i="1" s="1"/>
  <c r="H109" i="1" s="1"/>
  <c r="I109" i="1" s="1"/>
  <c r="J109" i="1" s="1"/>
  <c r="K109" i="1" s="1"/>
  <c r="L109" i="1" s="1"/>
  <c r="M109" i="1" s="1"/>
  <c r="N109" i="1" s="1"/>
  <c r="O109" i="1" s="1"/>
  <c r="P109" i="1" s="1"/>
  <c r="Q109" i="1" s="1"/>
  <c r="R109" i="1" s="1"/>
  <c r="S109" i="1" s="1"/>
  <c r="T109" i="1" s="1"/>
  <c r="U109" i="1" s="1"/>
  <c r="V109" i="1" s="1"/>
  <c r="W109" i="1" s="1"/>
  <c r="X109" i="1" s="1"/>
  <c r="L11" i="58" l="1"/>
  <c r="M18" i="1"/>
  <c r="M141" i="1"/>
  <c r="M11" i="58" l="1"/>
  <c r="N18" i="1"/>
  <c r="E18" i="17"/>
  <c r="O18" i="1" l="1"/>
  <c r="N11" i="58"/>
  <c r="E26" i="54"/>
  <c r="F7" i="54"/>
  <c r="E12" i="54"/>
  <c r="E20" i="54"/>
  <c r="E41" i="58"/>
  <c r="F9" i="58"/>
  <c r="F27" i="58" s="1"/>
  <c r="E20" i="58"/>
  <c r="E27" i="58"/>
  <c r="E35" i="58"/>
  <c r="E47" i="58"/>
  <c r="E52" i="58"/>
  <c r="F26" i="28"/>
  <c r="G26" i="28" s="1"/>
  <c r="H26" i="28" s="1"/>
  <c r="I26" i="28" s="1"/>
  <c r="J26" i="28" s="1"/>
  <c r="K26" i="28" s="1"/>
  <c r="L26" i="28" s="1"/>
  <c r="M26" i="28" s="1"/>
  <c r="N26" i="28" s="1"/>
  <c r="O26" i="28" s="1"/>
  <c r="P26" i="28" s="1"/>
  <c r="Q26" i="28" s="1"/>
  <c r="R26" i="28" s="1"/>
  <c r="S26" i="28" s="1"/>
  <c r="T26" i="28" s="1"/>
  <c r="U26" i="28" s="1"/>
  <c r="V26" i="28" s="1"/>
  <c r="W26" i="28" s="1"/>
  <c r="X26" i="28" s="1"/>
  <c r="P18" i="1" l="1"/>
  <c r="O11" i="58"/>
  <c r="F35" i="58"/>
  <c r="F20" i="58"/>
  <c r="F41" i="58"/>
  <c r="E37" i="54"/>
  <c r="E32" i="54"/>
  <c r="F12" i="54"/>
  <c r="G7" i="54"/>
  <c r="G9" i="58"/>
  <c r="F47" i="58"/>
  <c r="F52" i="58"/>
  <c r="Q18" i="1" l="1"/>
  <c r="P11" i="58"/>
  <c r="H7" i="54"/>
  <c r="G12" i="54"/>
  <c r="G35" i="58"/>
  <c r="G20" i="58"/>
  <c r="G27" i="58"/>
  <c r="G41" i="58"/>
  <c r="H9" i="58"/>
  <c r="G52" i="58"/>
  <c r="G47" i="58"/>
  <c r="R18" i="1" l="1"/>
  <c r="Q11" i="58"/>
  <c r="H12" i="54"/>
  <c r="I7" i="54"/>
  <c r="H20" i="58"/>
  <c r="H27" i="58"/>
  <c r="H41" i="58"/>
  <c r="I9" i="58"/>
  <c r="H52" i="58"/>
  <c r="H47" i="58"/>
  <c r="H35" i="58"/>
  <c r="R11" i="58" l="1"/>
  <c r="S18" i="1"/>
  <c r="I12" i="54"/>
  <c r="J7" i="54"/>
  <c r="I35" i="58"/>
  <c r="I20" i="58"/>
  <c r="I27" i="58"/>
  <c r="J9" i="58"/>
  <c r="I41" i="58"/>
  <c r="I47" i="58"/>
  <c r="I52" i="58"/>
  <c r="S11" i="58" l="1"/>
  <c r="T18" i="1"/>
  <c r="K7" i="54"/>
  <c r="J12" i="54"/>
  <c r="J35" i="58"/>
  <c r="J20" i="58"/>
  <c r="J27" i="58"/>
  <c r="K9" i="58"/>
  <c r="J47" i="58"/>
  <c r="J41" i="58"/>
  <c r="J52" i="58"/>
  <c r="T11" i="58" l="1"/>
  <c r="U18" i="1"/>
  <c r="L7" i="54"/>
  <c r="K12" i="54"/>
  <c r="K47" i="58"/>
  <c r="K52" i="58"/>
  <c r="K35" i="58"/>
  <c r="K20" i="58"/>
  <c r="L9" i="58"/>
  <c r="K27" i="58"/>
  <c r="K41" i="58"/>
  <c r="E31" i="1"/>
  <c r="U11" i="58" l="1"/>
  <c r="V18" i="1"/>
  <c r="E44" i="1"/>
  <c r="E49" i="1" s="1"/>
  <c r="E57" i="1" s="1"/>
  <c r="E39" i="1"/>
  <c r="M7" i="54"/>
  <c r="L12" i="54"/>
  <c r="M9" i="58"/>
  <c r="L20" i="58"/>
  <c r="L41" i="58"/>
  <c r="L52" i="58"/>
  <c r="L27" i="58"/>
  <c r="L47" i="58"/>
  <c r="L35" i="58"/>
  <c r="W18" i="1" l="1"/>
  <c r="V11" i="58"/>
  <c r="E64" i="1"/>
  <c r="E71" i="1" s="1"/>
  <c r="E86" i="1" s="1"/>
  <c r="M12" i="54"/>
  <c r="N7" i="54"/>
  <c r="M20" i="58"/>
  <c r="M27" i="58"/>
  <c r="M41" i="58"/>
  <c r="M47" i="58"/>
  <c r="M52" i="58"/>
  <c r="M35" i="58"/>
  <c r="N9" i="58"/>
  <c r="X18" i="1" l="1"/>
  <c r="W11" i="58"/>
  <c r="E91" i="1"/>
  <c r="E108" i="1"/>
  <c r="E114" i="1" s="1"/>
  <c r="E120" i="1" s="1"/>
  <c r="E132" i="1" s="1"/>
  <c r="N12" i="54"/>
  <c r="O7" i="54"/>
  <c r="O9" i="58"/>
  <c r="N47" i="58"/>
  <c r="N52" i="58"/>
  <c r="N27" i="58"/>
  <c r="N20" i="58"/>
  <c r="N35" i="58"/>
  <c r="N41" i="58"/>
  <c r="X11" i="58" l="1"/>
  <c r="P7" i="54"/>
  <c r="O12" i="54"/>
  <c r="O35" i="58"/>
  <c r="O20" i="58"/>
  <c r="O27" i="58"/>
  <c r="O41" i="58"/>
  <c r="P9" i="58"/>
  <c r="O47" i="58"/>
  <c r="O52" i="58"/>
  <c r="K141" i="1"/>
  <c r="L141" i="1"/>
  <c r="P12" i="54" l="1"/>
  <c r="Q7" i="54"/>
  <c r="P20" i="58"/>
  <c r="P27" i="58"/>
  <c r="P41" i="58"/>
  <c r="Q9" i="58"/>
  <c r="P47" i="58"/>
  <c r="P35" i="58"/>
  <c r="P52" i="58"/>
  <c r="Q12" i="54" l="1"/>
  <c r="R7" i="54"/>
  <c r="Q35" i="58"/>
  <c r="Q20" i="58"/>
  <c r="Q27" i="58"/>
  <c r="R9" i="58"/>
  <c r="Q52" i="58"/>
  <c r="Q47" i="58"/>
  <c r="Q41" i="58"/>
  <c r="S7" i="54" l="1"/>
  <c r="R12" i="54"/>
  <c r="R35" i="58"/>
  <c r="R20" i="58"/>
  <c r="R27" i="58"/>
  <c r="R41" i="58"/>
  <c r="R52" i="58"/>
  <c r="S9" i="58"/>
  <c r="R47" i="58"/>
  <c r="H121" i="1"/>
  <c r="I121" i="1" s="1"/>
  <c r="T7" i="54" l="1"/>
  <c r="S12" i="54"/>
  <c r="S47" i="58"/>
  <c r="S52" i="58"/>
  <c r="S35" i="58"/>
  <c r="S27" i="58"/>
  <c r="S41" i="58"/>
  <c r="S20" i="58"/>
  <c r="T9" i="58"/>
  <c r="J121" i="1"/>
  <c r="K121" i="1" s="1"/>
  <c r="L121" i="1" s="1"/>
  <c r="M121" i="1" s="1"/>
  <c r="N121" i="1" s="1"/>
  <c r="O121" i="1" s="1"/>
  <c r="P121" i="1" s="1"/>
  <c r="Q121" i="1" s="1"/>
  <c r="R121" i="1" s="1"/>
  <c r="S121" i="1" s="1"/>
  <c r="T121" i="1" s="1"/>
  <c r="U121" i="1" s="1"/>
  <c r="V121" i="1" s="1"/>
  <c r="W121" i="1" s="1"/>
  <c r="X121" i="1" s="1"/>
  <c r="U7" i="54" l="1"/>
  <c r="T12" i="54"/>
  <c r="U9" i="58"/>
  <c r="T35" i="58"/>
  <c r="T52" i="58"/>
  <c r="T27" i="58"/>
  <c r="T41" i="58"/>
  <c r="T20" i="58"/>
  <c r="T47" i="58"/>
  <c r="F31" i="28"/>
  <c r="G31" i="28" s="1"/>
  <c r="H31" i="28" s="1"/>
  <c r="I31" i="28" s="1"/>
  <c r="J31" i="28" s="1"/>
  <c r="K31" i="28" s="1"/>
  <c r="L31" i="28" s="1"/>
  <c r="M31" i="28" s="1"/>
  <c r="N31" i="28" s="1"/>
  <c r="O31" i="28" s="1"/>
  <c r="P31" i="28" s="1"/>
  <c r="Q31" i="28" s="1"/>
  <c r="R31" i="28" s="1"/>
  <c r="S31" i="28" s="1"/>
  <c r="T31" i="28" s="1"/>
  <c r="U31" i="28" s="1"/>
  <c r="V31" i="28" s="1"/>
  <c r="W31" i="28" s="1"/>
  <c r="X31" i="28" s="1"/>
  <c r="V7" i="54" l="1"/>
  <c r="U12" i="54"/>
  <c r="U20" i="58"/>
  <c r="U27" i="58"/>
  <c r="U41" i="58"/>
  <c r="U47" i="58"/>
  <c r="U52" i="58"/>
  <c r="U35" i="58"/>
  <c r="V9" i="58"/>
  <c r="J141" i="1"/>
  <c r="V12" i="54" l="1"/>
  <c r="V47" i="58"/>
  <c r="V52" i="58"/>
  <c r="V35" i="58"/>
  <c r="V20" i="58"/>
  <c r="V27" i="58"/>
  <c r="V41" i="58"/>
  <c r="U34" i="1" l="1"/>
  <c r="U35" i="1" s="1"/>
  <c r="U92" i="49" s="1"/>
  <c r="V34" i="1"/>
  <c r="V35" i="1" s="1"/>
  <c r="V92" i="49" s="1"/>
  <c r="U41" i="1"/>
  <c r="V41" i="1"/>
  <c r="U51" i="1"/>
  <c r="U52" i="1" s="1"/>
  <c r="V51" i="1"/>
  <c r="V52" i="1" s="1"/>
  <c r="U59" i="1"/>
  <c r="U60" i="1" s="1"/>
  <c r="V59" i="1"/>
  <c r="V60" i="1" s="1"/>
  <c r="V84" i="49" l="1"/>
  <c r="V89" i="49"/>
  <c r="V93" i="49"/>
  <c r="V83" i="49"/>
  <c r="V85" i="49"/>
  <c r="V86" i="49"/>
  <c r="V87" i="49"/>
  <c r="V88" i="49"/>
  <c r="V90" i="49"/>
  <c r="V91" i="49"/>
  <c r="U93" i="49"/>
  <c r="U83" i="49"/>
  <c r="U84" i="49"/>
  <c r="U85" i="49"/>
  <c r="U86" i="49"/>
  <c r="U87" i="49"/>
  <c r="U88" i="49"/>
  <c r="U89" i="49"/>
  <c r="U90" i="49"/>
  <c r="U91" i="49"/>
  <c r="V65" i="1"/>
  <c r="U65" i="1"/>
  <c r="F43" i="28"/>
  <c r="G43" i="28" s="1"/>
  <c r="H43" i="28" s="1"/>
  <c r="I43" i="28" s="1"/>
  <c r="J43" i="28" s="1"/>
  <c r="K43" i="28" s="1"/>
  <c r="L43" i="28" s="1"/>
  <c r="M43" i="28" s="1"/>
  <c r="N43" i="28" s="1"/>
  <c r="O43" i="28" s="1"/>
  <c r="P43" i="28" s="1"/>
  <c r="Q43" i="28" s="1"/>
  <c r="R43" i="28" s="1"/>
  <c r="S43" i="28" s="1"/>
  <c r="T43" i="28" s="1"/>
  <c r="U43" i="28" s="1"/>
  <c r="V43" i="28" s="1"/>
  <c r="W43" i="28" s="1"/>
  <c r="X43" i="28" s="1"/>
  <c r="F45" i="28"/>
  <c r="G45" i="28" s="1"/>
  <c r="H45" i="28" s="1"/>
  <c r="I45" i="28" s="1"/>
  <c r="J45" i="28" s="1"/>
  <c r="K45" i="28" s="1"/>
  <c r="L45" i="28" s="1"/>
  <c r="M45" i="28" s="1"/>
  <c r="N45" i="28" s="1"/>
  <c r="O45" i="28" s="1"/>
  <c r="P45" i="28" s="1"/>
  <c r="Q45" i="28" s="1"/>
  <c r="R45" i="28" s="1"/>
  <c r="S45" i="28" s="1"/>
  <c r="T45" i="28" s="1"/>
  <c r="U45" i="28" s="1"/>
  <c r="V45" i="28" s="1"/>
  <c r="W45" i="28" s="1"/>
  <c r="X45" i="28" s="1"/>
  <c r="F19" i="1" l="1"/>
  <c r="E41" i="1"/>
  <c r="E42" i="1" s="1"/>
  <c r="F41" i="1"/>
  <c r="G41" i="1"/>
  <c r="G42" i="1" s="1"/>
  <c r="H41" i="1"/>
  <c r="I41" i="1"/>
  <c r="J41" i="1"/>
  <c r="K41" i="1"/>
  <c r="L41" i="1"/>
  <c r="M41" i="1"/>
  <c r="N41" i="1"/>
  <c r="O41" i="1"/>
  <c r="P41" i="1"/>
  <c r="Q41" i="1"/>
  <c r="R41" i="1"/>
  <c r="S41" i="1"/>
  <c r="T41" i="1"/>
  <c r="F34" i="1"/>
  <c r="F35" i="1" s="1"/>
  <c r="F92" i="49" s="1"/>
  <c r="G34" i="1"/>
  <c r="G35" i="1" s="1"/>
  <c r="H34" i="1"/>
  <c r="H35" i="1" s="1"/>
  <c r="I34" i="1"/>
  <c r="I35" i="1" s="1"/>
  <c r="J34" i="1"/>
  <c r="J35" i="1" s="1"/>
  <c r="K34" i="1"/>
  <c r="K35" i="1" s="1"/>
  <c r="L34" i="1"/>
  <c r="L35" i="1" s="1"/>
  <c r="M34" i="1"/>
  <c r="M35" i="1" s="1"/>
  <c r="N34" i="1"/>
  <c r="N35" i="1" s="1"/>
  <c r="N92" i="49" s="1"/>
  <c r="O34" i="1"/>
  <c r="O35" i="1" s="1"/>
  <c r="O92" i="49" s="1"/>
  <c r="P34" i="1"/>
  <c r="P35" i="1" s="1"/>
  <c r="P92" i="49" s="1"/>
  <c r="Q34" i="1"/>
  <c r="Q35" i="1" s="1"/>
  <c r="Q92" i="49" s="1"/>
  <c r="R34" i="1"/>
  <c r="R35" i="1" s="1"/>
  <c r="S34" i="1"/>
  <c r="S35" i="1" s="1"/>
  <c r="S92" i="49" s="1"/>
  <c r="T34" i="1"/>
  <c r="T35" i="1" s="1"/>
  <c r="T92" i="49" s="1"/>
  <c r="F15" i="1"/>
  <c r="G15" i="1" s="1"/>
  <c r="F16" i="1"/>
  <c r="G16" i="1" s="1"/>
  <c r="H16" i="1" s="1"/>
  <c r="I16" i="1" s="1"/>
  <c r="J16" i="1" s="1"/>
  <c r="K16" i="1" s="1"/>
  <c r="L16" i="1" s="1"/>
  <c r="M16" i="1" s="1"/>
  <c r="N16" i="1" s="1"/>
  <c r="O16" i="1" s="1"/>
  <c r="P16" i="1" s="1"/>
  <c r="Q16" i="1" s="1"/>
  <c r="R16" i="1" s="1"/>
  <c r="S16" i="1" s="1"/>
  <c r="T16" i="1" s="1"/>
  <c r="U16" i="1" s="1"/>
  <c r="V16" i="1" s="1"/>
  <c r="W16" i="1" s="1"/>
  <c r="X16" i="1" s="1"/>
  <c r="F97" i="49"/>
  <c r="G97" i="49" s="1"/>
  <c r="H97" i="49" s="1"/>
  <c r="I97" i="49" s="1"/>
  <c r="J97" i="49" s="1"/>
  <c r="K97" i="49" s="1"/>
  <c r="L97" i="49" s="1"/>
  <c r="M97" i="49" s="1"/>
  <c r="N97" i="49" s="1"/>
  <c r="O97" i="49" s="1"/>
  <c r="P97" i="49" s="1"/>
  <c r="Q97" i="49" s="1"/>
  <c r="R97" i="49" s="1"/>
  <c r="S97" i="49" s="1"/>
  <c r="T97" i="49" s="1"/>
  <c r="U97" i="49" s="1"/>
  <c r="V97" i="49" s="1"/>
  <c r="F65" i="49"/>
  <c r="G65" i="49" s="1"/>
  <c r="H65" i="49" s="1"/>
  <c r="I65" i="49" s="1"/>
  <c r="J65" i="49" s="1"/>
  <c r="K65" i="49" s="1"/>
  <c r="L65" i="49" s="1"/>
  <c r="M65" i="49" s="1"/>
  <c r="N65" i="49" s="1"/>
  <c r="O65" i="49" s="1"/>
  <c r="P65" i="49" s="1"/>
  <c r="Q65" i="49" s="1"/>
  <c r="R65" i="49" s="1"/>
  <c r="S65" i="49" s="1"/>
  <c r="T65" i="49" s="1"/>
  <c r="U65" i="49" s="1"/>
  <c r="V65" i="49" s="1"/>
  <c r="F82" i="49"/>
  <c r="G82" i="49" s="1"/>
  <c r="H82" i="49" s="1"/>
  <c r="I82" i="49" s="1"/>
  <c r="J82" i="49" s="1"/>
  <c r="K82" i="49" s="1"/>
  <c r="L82" i="49" s="1"/>
  <c r="M82" i="49" s="1"/>
  <c r="N82" i="49" s="1"/>
  <c r="O82" i="49" s="1"/>
  <c r="P82" i="49" s="1"/>
  <c r="Q82" i="49" s="1"/>
  <c r="R82" i="49" s="1"/>
  <c r="S82" i="49" s="1"/>
  <c r="T82" i="49" s="1"/>
  <c r="U82" i="49" s="1"/>
  <c r="V82" i="49" s="1"/>
  <c r="F62" i="49"/>
  <c r="G62" i="49" s="1"/>
  <c r="H62" i="49" s="1"/>
  <c r="I62" i="49" s="1"/>
  <c r="J62" i="49" s="1"/>
  <c r="K62" i="49" s="1"/>
  <c r="L62" i="49" s="1"/>
  <c r="M62" i="49" s="1"/>
  <c r="N62" i="49" s="1"/>
  <c r="O62" i="49" s="1"/>
  <c r="P62" i="49" s="1"/>
  <c r="Q62" i="49" s="1"/>
  <c r="R62" i="49" s="1"/>
  <c r="S62" i="49" s="1"/>
  <c r="T62" i="49" s="1"/>
  <c r="U62" i="49" s="1"/>
  <c r="V62" i="49" s="1"/>
  <c r="F59" i="49"/>
  <c r="G59" i="49" s="1"/>
  <c r="H59" i="49" s="1"/>
  <c r="I59" i="49" s="1"/>
  <c r="J59" i="49" s="1"/>
  <c r="K59" i="49" s="1"/>
  <c r="L59" i="49" s="1"/>
  <c r="M59" i="49" s="1"/>
  <c r="N59" i="49" s="1"/>
  <c r="O59" i="49" s="1"/>
  <c r="P59" i="49" s="1"/>
  <c r="Q59" i="49" s="1"/>
  <c r="R59" i="49" s="1"/>
  <c r="S59" i="49" s="1"/>
  <c r="T59" i="49" s="1"/>
  <c r="U59" i="49" s="1"/>
  <c r="V59" i="49" s="1"/>
  <c r="F49" i="49"/>
  <c r="G49" i="49" s="1"/>
  <c r="H49" i="49" s="1"/>
  <c r="I49" i="49" s="1"/>
  <c r="J49" i="49" s="1"/>
  <c r="K49" i="49" s="1"/>
  <c r="L49" i="49" s="1"/>
  <c r="M49" i="49" s="1"/>
  <c r="N49" i="49" s="1"/>
  <c r="O49" i="49" s="1"/>
  <c r="P49" i="49" s="1"/>
  <c r="Q49" i="49" s="1"/>
  <c r="R49" i="49" s="1"/>
  <c r="S49" i="49" s="1"/>
  <c r="T49" i="49" s="1"/>
  <c r="U49" i="49" s="1"/>
  <c r="V49" i="49" s="1"/>
  <c r="W49" i="49" s="1"/>
  <c r="X49" i="49" s="1"/>
  <c r="F45" i="49"/>
  <c r="G45" i="49" s="1"/>
  <c r="H45" i="49" s="1"/>
  <c r="I45" i="49" s="1"/>
  <c r="J45" i="49" s="1"/>
  <c r="K45" i="49" s="1"/>
  <c r="L45" i="49" s="1"/>
  <c r="M45" i="49" s="1"/>
  <c r="N45" i="49" s="1"/>
  <c r="O45" i="49" s="1"/>
  <c r="P45" i="49" s="1"/>
  <c r="Q45" i="49" s="1"/>
  <c r="R45" i="49" s="1"/>
  <c r="S45" i="49" s="1"/>
  <c r="T45" i="49" s="1"/>
  <c r="U45" i="49" s="1"/>
  <c r="V45" i="49" s="1"/>
  <c r="W45" i="49" s="1"/>
  <c r="X45" i="49" s="1"/>
  <c r="F41" i="49"/>
  <c r="G41" i="49" s="1"/>
  <c r="H41" i="49" s="1"/>
  <c r="I41" i="49" s="1"/>
  <c r="J41" i="49" s="1"/>
  <c r="K41" i="49" s="1"/>
  <c r="L41" i="49" s="1"/>
  <c r="M41" i="49" s="1"/>
  <c r="N41" i="49" s="1"/>
  <c r="O41" i="49" s="1"/>
  <c r="P41" i="49" s="1"/>
  <c r="Q41" i="49" s="1"/>
  <c r="R41" i="49" s="1"/>
  <c r="S41" i="49" s="1"/>
  <c r="T41" i="49" s="1"/>
  <c r="U41" i="49" s="1"/>
  <c r="V41" i="49" s="1"/>
  <c r="F9" i="49"/>
  <c r="G9" i="49" s="1"/>
  <c r="H9" i="49" s="1"/>
  <c r="I9" i="49" s="1"/>
  <c r="J9" i="49" s="1"/>
  <c r="K9" i="49" s="1"/>
  <c r="L9" i="49" s="1"/>
  <c r="M9" i="49" s="1"/>
  <c r="N9" i="49" s="1"/>
  <c r="O9" i="49" s="1"/>
  <c r="P9" i="49" s="1"/>
  <c r="Q9" i="49" s="1"/>
  <c r="R9" i="49" s="1"/>
  <c r="S9" i="49" s="1"/>
  <c r="T9" i="49" s="1"/>
  <c r="U9" i="49" s="1"/>
  <c r="V9" i="49" s="1"/>
  <c r="W9" i="49" s="1"/>
  <c r="X9" i="49" s="1"/>
  <c r="F44" i="1"/>
  <c r="G44" i="1" s="1"/>
  <c r="H44" i="1" s="1"/>
  <c r="I44" i="1" s="1"/>
  <c r="J44" i="1" s="1"/>
  <c r="K44" i="1" s="1"/>
  <c r="L44" i="1" s="1"/>
  <c r="M44" i="1" s="1"/>
  <c r="N44" i="1" s="1"/>
  <c r="O44" i="1" s="1"/>
  <c r="P44" i="1" s="1"/>
  <c r="Q44" i="1" s="1"/>
  <c r="R44" i="1" s="1"/>
  <c r="S44" i="1" s="1"/>
  <c r="T44" i="1" s="1"/>
  <c r="U44" i="1" s="1"/>
  <c r="V44" i="1" s="1"/>
  <c r="W44" i="1" s="1"/>
  <c r="X44" i="1" s="1"/>
  <c r="E51" i="1"/>
  <c r="E52" i="1" s="1"/>
  <c r="E59" i="1"/>
  <c r="E60" i="1" s="1"/>
  <c r="F61" i="1" s="1"/>
  <c r="F51" i="1"/>
  <c r="F52" i="1" s="1"/>
  <c r="F59" i="1"/>
  <c r="F60" i="1" s="1"/>
  <c r="G51" i="1"/>
  <c r="G52" i="1" s="1"/>
  <c r="G59" i="1"/>
  <c r="G60" i="1" s="1"/>
  <c r="H51" i="1"/>
  <c r="H52" i="1" s="1"/>
  <c r="H59" i="1"/>
  <c r="H60" i="1" s="1"/>
  <c r="I51" i="1"/>
  <c r="I52" i="1" s="1"/>
  <c r="I59" i="1"/>
  <c r="I60" i="1" s="1"/>
  <c r="J51" i="1"/>
  <c r="J52" i="1" s="1"/>
  <c r="J59" i="1"/>
  <c r="J60" i="1" s="1"/>
  <c r="K51" i="1"/>
  <c r="K52" i="1" s="1"/>
  <c r="K59" i="1"/>
  <c r="K60" i="1" s="1"/>
  <c r="L51" i="1"/>
  <c r="L52" i="1" s="1"/>
  <c r="L59" i="1"/>
  <c r="L60" i="1" s="1"/>
  <c r="M51" i="1"/>
  <c r="M52" i="1" s="1"/>
  <c r="M59" i="1"/>
  <c r="M60" i="1" s="1"/>
  <c r="N51" i="1"/>
  <c r="N52" i="1" s="1"/>
  <c r="N59" i="1"/>
  <c r="N60" i="1" s="1"/>
  <c r="O51" i="1"/>
  <c r="O52" i="1" s="1"/>
  <c r="O59" i="1"/>
  <c r="O60" i="1" s="1"/>
  <c r="P51" i="1"/>
  <c r="P52" i="1" s="1"/>
  <c r="P59" i="1"/>
  <c r="P60" i="1" s="1"/>
  <c r="Q51" i="1"/>
  <c r="Q52" i="1" s="1"/>
  <c r="Q59" i="1"/>
  <c r="Q60" i="1" s="1"/>
  <c r="R51" i="1"/>
  <c r="R52" i="1" s="1"/>
  <c r="R59" i="1"/>
  <c r="R60" i="1" s="1"/>
  <c r="S51" i="1"/>
  <c r="S52" i="1" s="1"/>
  <c r="S59" i="1"/>
  <c r="S60" i="1" s="1"/>
  <c r="T51" i="1"/>
  <c r="T52" i="1" s="1"/>
  <c r="T59" i="1"/>
  <c r="T60" i="1" s="1"/>
  <c r="F132" i="1"/>
  <c r="G132" i="1" s="1"/>
  <c r="H132" i="1" s="1"/>
  <c r="I132" i="1" s="1"/>
  <c r="J132" i="1" s="1"/>
  <c r="K132" i="1" s="1"/>
  <c r="L132" i="1" s="1"/>
  <c r="M132" i="1" s="1"/>
  <c r="N132" i="1" s="1"/>
  <c r="O132" i="1" s="1"/>
  <c r="P132" i="1" s="1"/>
  <c r="Q132" i="1" s="1"/>
  <c r="R132" i="1" s="1"/>
  <c r="S132" i="1" s="1"/>
  <c r="T132" i="1" s="1"/>
  <c r="U132" i="1" s="1"/>
  <c r="V132" i="1" s="1"/>
  <c r="W132" i="1" s="1"/>
  <c r="X132" i="1" s="1"/>
  <c r="F64" i="1"/>
  <c r="F57" i="1"/>
  <c r="G57" i="1" s="1"/>
  <c r="H57" i="1" s="1"/>
  <c r="I57" i="1" s="1"/>
  <c r="J57" i="1" s="1"/>
  <c r="K57" i="1" s="1"/>
  <c r="L57" i="1" s="1"/>
  <c r="M57" i="1" s="1"/>
  <c r="N57" i="1" s="1"/>
  <c r="O57" i="1" s="1"/>
  <c r="P57" i="1" s="1"/>
  <c r="Q57" i="1" s="1"/>
  <c r="R57" i="1" s="1"/>
  <c r="S57" i="1" s="1"/>
  <c r="T57" i="1" s="1"/>
  <c r="U57" i="1" s="1"/>
  <c r="V57" i="1" s="1"/>
  <c r="W57" i="1" s="1"/>
  <c r="X57" i="1" s="1"/>
  <c r="F49" i="1"/>
  <c r="G49" i="1" s="1"/>
  <c r="H49" i="1" s="1"/>
  <c r="I49" i="1" s="1"/>
  <c r="J49" i="1" s="1"/>
  <c r="K49" i="1" s="1"/>
  <c r="L49" i="1" s="1"/>
  <c r="M49" i="1" s="1"/>
  <c r="N49" i="1" s="1"/>
  <c r="O49" i="1" s="1"/>
  <c r="P49" i="1" s="1"/>
  <c r="Q49" i="1" s="1"/>
  <c r="R49" i="1" s="1"/>
  <c r="S49" i="1" s="1"/>
  <c r="T49" i="1" s="1"/>
  <c r="U49" i="1" s="1"/>
  <c r="V49" i="1" s="1"/>
  <c r="W49" i="1" s="1"/>
  <c r="X49" i="1" s="1"/>
  <c r="F39" i="1"/>
  <c r="F31" i="1"/>
  <c r="G31" i="1" s="1"/>
  <c r="H31" i="1" s="1"/>
  <c r="I31" i="1" s="1"/>
  <c r="J31" i="1" s="1"/>
  <c r="K31" i="1" s="1"/>
  <c r="L31" i="1" s="1"/>
  <c r="M31" i="1" s="1"/>
  <c r="N31" i="1" s="1"/>
  <c r="O31" i="1" s="1"/>
  <c r="P31" i="1" s="1"/>
  <c r="Q31" i="1" s="1"/>
  <c r="R31" i="1" s="1"/>
  <c r="S31" i="1" s="1"/>
  <c r="T31" i="1" s="1"/>
  <c r="U31" i="1" s="1"/>
  <c r="V31" i="1" s="1"/>
  <c r="W31" i="1" s="1"/>
  <c r="X31" i="1" s="1"/>
  <c r="F92" i="1"/>
  <c r="G92" i="1" s="1"/>
  <c r="F93" i="1"/>
  <c r="G93" i="1" s="1"/>
  <c r="H93" i="1" s="1"/>
  <c r="I93" i="1" s="1"/>
  <c r="J93" i="1" s="1"/>
  <c r="K93" i="1" s="1"/>
  <c r="L93" i="1" s="1"/>
  <c r="M93" i="1" s="1"/>
  <c r="N93" i="1" s="1"/>
  <c r="O93" i="1" s="1"/>
  <c r="P93" i="1" s="1"/>
  <c r="Q93" i="1" s="1"/>
  <c r="R93" i="1" s="1"/>
  <c r="S93" i="1" s="1"/>
  <c r="T93" i="1" s="1"/>
  <c r="U93" i="1" s="1"/>
  <c r="V93" i="1" s="1"/>
  <c r="W93" i="1" s="1"/>
  <c r="X93" i="1" s="1"/>
  <c r="H141" i="1"/>
  <c r="I141" i="1"/>
  <c r="E141" i="1"/>
  <c r="F141" i="1"/>
  <c r="G141" i="1"/>
  <c r="C22" i="17"/>
  <c r="D22" i="17" s="1"/>
  <c r="E22" i="17" s="1"/>
  <c r="F22" i="17" s="1"/>
  <c r="G22" i="17" s="1"/>
  <c r="H22" i="17" s="1"/>
  <c r="I22" i="17" s="1"/>
  <c r="J22" i="17" s="1"/>
  <c r="K22" i="17" s="1"/>
  <c r="L22" i="17" s="1"/>
  <c r="M22" i="17" s="1"/>
  <c r="N22" i="17" s="1"/>
  <c r="O22" i="17" s="1"/>
  <c r="P22" i="17" s="1"/>
  <c r="Q22" i="17" s="1"/>
  <c r="R22" i="17" s="1"/>
  <c r="S22" i="17" s="1"/>
  <c r="C17" i="17"/>
  <c r="D17" i="17" s="1"/>
  <c r="E17" i="17" s="1"/>
  <c r="F17" i="17" s="1"/>
  <c r="G17" i="17" s="1"/>
  <c r="H17" i="17" s="1"/>
  <c r="I17" i="17" s="1"/>
  <c r="J17" i="17" s="1"/>
  <c r="K17" i="17" s="1"/>
  <c r="L17" i="17" s="1"/>
  <c r="M17" i="17" s="1"/>
  <c r="N17" i="17" s="1"/>
  <c r="O17" i="17" s="1"/>
  <c r="P17" i="17" s="1"/>
  <c r="Q17" i="17" s="1"/>
  <c r="R17" i="17" s="1"/>
  <c r="S17" i="17" s="1"/>
  <c r="C9" i="17"/>
  <c r="D9" i="17" s="1"/>
  <c r="E9" i="17" s="1"/>
  <c r="F9" i="17" s="1"/>
  <c r="G9" i="17" s="1"/>
  <c r="H9" i="17" s="1"/>
  <c r="I9" i="17" s="1"/>
  <c r="J9" i="17" s="1"/>
  <c r="K9" i="17" s="1"/>
  <c r="L9" i="17" s="1"/>
  <c r="M9" i="17" s="1"/>
  <c r="N9" i="17" s="1"/>
  <c r="O9" i="17" s="1"/>
  <c r="P9" i="17" s="1"/>
  <c r="Q9" i="17" s="1"/>
  <c r="R9" i="17" s="1"/>
  <c r="S9" i="17" s="1"/>
  <c r="A18" i="17"/>
  <c r="F97" i="1"/>
  <c r="G97" i="1" s="1"/>
  <c r="H97" i="1" s="1"/>
  <c r="I97" i="1" s="1"/>
  <c r="J97" i="1" s="1"/>
  <c r="K97" i="1" s="1"/>
  <c r="L97" i="1" s="1"/>
  <c r="M97" i="1" s="1"/>
  <c r="N97" i="1" s="1"/>
  <c r="O97" i="1" s="1"/>
  <c r="P97" i="1" s="1"/>
  <c r="Q97" i="1" s="1"/>
  <c r="R97" i="1" s="1"/>
  <c r="S97" i="1" s="1"/>
  <c r="T97" i="1" s="1"/>
  <c r="U97" i="1" s="1"/>
  <c r="V97" i="1" s="1"/>
  <c r="W97" i="1" s="1"/>
  <c r="X97" i="1" s="1"/>
  <c r="F96" i="1"/>
  <c r="G96" i="1" s="1"/>
  <c r="H96" i="1" s="1"/>
  <c r="I96" i="1" s="1"/>
  <c r="J96" i="1" s="1"/>
  <c r="K96" i="1" s="1"/>
  <c r="L96" i="1" s="1"/>
  <c r="M96" i="1" s="1"/>
  <c r="N96" i="1" s="1"/>
  <c r="O96" i="1" s="1"/>
  <c r="P96" i="1" s="1"/>
  <c r="Q96" i="1" s="1"/>
  <c r="R96" i="1" s="1"/>
  <c r="S96" i="1" s="1"/>
  <c r="T96" i="1" s="1"/>
  <c r="U96" i="1" s="1"/>
  <c r="V96" i="1" s="1"/>
  <c r="W96" i="1" s="1"/>
  <c r="X96" i="1" s="1"/>
  <c r="F33" i="1"/>
  <c r="G33" i="1"/>
  <c r="H33" i="1"/>
  <c r="I33" i="1"/>
  <c r="J33" i="1"/>
  <c r="K33" i="1"/>
  <c r="L33" i="1"/>
  <c r="M33" i="1"/>
  <c r="N33" i="1"/>
  <c r="O33" i="1"/>
  <c r="P33" i="1"/>
  <c r="Q33" i="1"/>
  <c r="R33" i="1"/>
  <c r="F100" i="1"/>
  <c r="G100" i="1" s="1"/>
  <c r="H100" i="1" s="1"/>
  <c r="I100" i="1" s="1"/>
  <c r="J100" i="1" s="1"/>
  <c r="K100" i="1" s="1"/>
  <c r="L100" i="1" s="1"/>
  <c r="M100" i="1" s="1"/>
  <c r="N100" i="1" s="1"/>
  <c r="O100" i="1" s="1"/>
  <c r="P100" i="1" s="1"/>
  <c r="Q100" i="1" s="1"/>
  <c r="R100" i="1" s="1"/>
  <c r="S100" i="1" s="1"/>
  <c r="T100" i="1" s="1"/>
  <c r="U100" i="1" s="1"/>
  <c r="V100" i="1" s="1"/>
  <c r="W100" i="1" s="1"/>
  <c r="X100" i="1" s="1"/>
  <c r="F101" i="1"/>
  <c r="G101" i="1" s="1"/>
  <c r="H101" i="1" s="1"/>
  <c r="I101" i="1" s="1"/>
  <c r="J101" i="1" s="1"/>
  <c r="K101" i="1" s="1"/>
  <c r="L101" i="1" s="1"/>
  <c r="M101" i="1" s="1"/>
  <c r="N101" i="1" s="1"/>
  <c r="O101" i="1" s="1"/>
  <c r="P101" i="1" s="1"/>
  <c r="Q101" i="1" s="1"/>
  <c r="R101" i="1" s="1"/>
  <c r="S101" i="1" s="1"/>
  <c r="T101" i="1" s="1"/>
  <c r="U101" i="1" s="1"/>
  <c r="V101" i="1" s="1"/>
  <c r="W101" i="1" s="1"/>
  <c r="X101" i="1" s="1"/>
  <c r="F102" i="1"/>
  <c r="G102" i="1" s="1"/>
  <c r="H102" i="1" s="1"/>
  <c r="I102" i="1" s="1"/>
  <c r="J102" i="1" s="1"/>
  <c r="K102" i="1" s="1"/>
  <c r="L102" i="1" s="1"/>
  <c r="M102" i="1" s="1"/>
  <c r="N102" i="1" s="1"/>
  <c r="O102" i="1" s="1"/>
  <c r="P102" i="1" s="1"/>
  <c r="Q102" i="1" s="1"/>
  <c r="R102" i="1" s="1"/>
  <c r="S102" i="1" s="1"/>
  <c r="T102" i="1" s="1"/>
  <c r="U102" i="1" s="1"/>
  <c r="V102" i="1" s="1"/>
  <c r="W102" i="1" s="1"/>
  <c r="X102" i="1" s="1"/>
  <c r="F103" i="1"/>
  <c r="G103" i="1" s="1"/>
  <c r="H103" i="1" s="1"/>
  <c r="I103" i="1" s="1"/>
  <c r="J103" i="1" s="1"/>
  <c r="K103" i="1" s="1"/>
  <c r="L103" i="1" s="1"/>
  <c r="M103" i="1" s="1"/>
  <c r="N103" i="1" s="1"/>
  <c r="O103" i="1" s="1"/>
  <c r="P103" i="1" s="1"/>
  <c r="Q103" i="1" s="1"/>
  <c r="R103" i="1" s="1"/>
  <c r="S103" i="1" s="1"/>
  <c r="T103" i="1" s="1"/>
  <c r="U103" i="1" s="1"/>
  <c r="V103" i="1" s="1"/>
  <c r="W103" i="1" s="1"/>
  <c r="X103" i="1" s="1"/>
  <c r="F104" i="1"/>
  <c r="G104" i="1" s="1"/>
  <c r="H104" i="1" s="1"/>
  <c r="I104" i="1" s="1"/>
  <c r="J104" i="1" s="1"/>
  <c r="K104" i="1" s="1"/>
  <c r="L104" i="1" s="1"/>
  <c r="M104" i="1" s="1"/>
  <c r="N104" i="1" s="1"/>
  <c r="O104" i="1" s="1"/>
  <c r="P104" i="1" s="1"/>
  <c r="Q104" i="1" s="1"/>
  <c r="R104" i="1" s="1"/>
  <c r="S104" i="1" s="1"/>
  <c r="T104" i="1" s="1"/>
  <c r="U104" i="1" s="1"/>
  <c r="V104" i="1" s="1"/>
  <c r="W104" i="1" s="1"/>
  <c r="X104" i="1" s="1"/>
  <c r="F115" i="49"/>
  <c r="F56" i="49"/>
  <c r="G56" i="49" s="1"/>
  <c r="H56" i="49" s="1"/>
  <c r="I56" i="49" s="1"/>
  <c r="J56" i="49" s="1"/>
  <c r="K56" i="49" s="1"/>
  <c r="L56" i="49" s="1"/>
  <c r="M56" i="49" s="1"/>
  <c r="N56" i="49" s="1"/>
  <c r="O56" i="49" s="1"/>
  <c r="P56" i="49" s="1"/>
  <c r="Q56" i="49" s="1"/>
  <c r="R56" i="49" s="1"/>
  <c r="S56" i="49" s="1"/>
  <c r="T56" i="49" s="1"/>
  <c r="U56" i="49" s="1"/>
  <c r="V56" i="49" s="1"/>
  <c r="A11" i="28"/>
  <c r="A3" i="176"/>
  <c r="A2" i="176"/>
  <c r="A1" i="176"/>
  <c r="A3" i="174"/>
  <c r="A2" i="174"/>
  <c r="A1" i="174"/>
  <c r="A19" i="49"/>
  <c r="A17" i="49"/>
  <c r="A18" i="49"/>
  <c r="A16" i="49"/>
  <c r="A24" i="49"/>
  <c r="A23" i="49"/>
  <c r="A13" i="49"/>
  <c r="A15" i="28"/>
  <c r="A14" i="28"/>
  <c r="A13" i="28"/>
  <c r="A10" i="28"/>
  <c r="F10" i="1"/>
  <c r="G10" i="1" s="1"/>
  <c r="H10" i="1" s="1"/>
  <c r="I10" i="1" s="1"/>
  <c r="J10" i="1" s="1"/>
  <c r="K10" i="1" s="1"/>
  <c r="L10" i="1" s="1"/>
  <c r="M10" i="1" s="1"/>
  <c r="N10" i="1" s="1"/>
  <c r="O10" i="1" s="1"/>
  <c r="P10" i="1" s="1"/>
  <c r="Q10" i="1" s="1"/>
  <c r="R10" i="1" s="1"/>
  <c r="S10" i="1" s="1"/>
  <c r="T10" i="1" s="1"/>
  <c r="U10" i="1" s="1"/>
  <c r="V10" i="1" s="1"/>
  <c r="W10" i="1" s="1"/>
  <c r="X10" i="1" s="1"/>
  <c r="A3" i="117"/>
  <c r="A2" i="117"/>
  <c r="A1" i="117"/>
  <c r="A14" i="58"/>
  <c r="A13" i="58"/>
  <c r="A10" i="58"/>
  <c r="A15" i="58"/>
  <c r="A3" i="58"/>
  <c r="A2" i="58"/>
  <c r="A1" i="58"/>
  <c r="A2" i="54"/>
  <c r="A3" i="54"/>
  <c r="A1" i="54"/>
  <c r="A2" i="49"/>
  <c r="A3" i="49"/>
  <c r="A1" i="49"/>
  <c r="A2" i="28"/>
  <c r="A3" i="28"/>
  <c r="A1" i="28"/>
  <c r="A2" i="17"/>
  <c r="A3" i="17"/>
  <c r="A1" i="17"/>
  <c r="G61" i="1" l="1"/>
  <c r="H61" i="1" s="1"/>
  <c r="I61" i="1" s="1"/>
  <c r="J61" i="1" s="1"/>
  <c r="K61" i="1" s="1"/>
  <c r="L61" i="1" s="1"/>
  <c r="M61" i="1" s="1"/>
  <c r="N61" i="1" s="1"/>
  <c r="O61" i="1" s="1"/>
  <c r="P61" i="1" s="1"/>
  <c r="Q61" i="1" s="1"/>
  <c r="R61" i="1" s="1"/>
  <c r="S61" i="1" s="1"/>
  <c r="T61" i="1" s="1"/>
  <c r="U61" i="1" s="1"/>
  <c r="V61" i="1" s="1"/>
  <c r="W61" i="1" s="1"/>
  <c r="X61" i="1" s="1"/>
  <c r="F88" i="49"/>
  <c r="F91" i="49"/>
  <c r="F93" i="49"/>
  <c r="F90" i="49"/>
  <c r="F85" i="49"/>
  <c r="F89" i="49"/>
  <c r="F87" i="49"/>
  <c r="F86" i="49"/>
  <c r="F83" i="49"/>
  <c r="F84" i="49"/>
  <c r="H54" i="174"/>
  <c r="H45" i="174"/>
  <c r="G19" i="1"/>
  <c r="G11" i="28" s="1"/>
  <c r="F11" i="28"/>
  <c r="R92" i="49"/>
  <c r="R85" i="49" s="1"/>
  <c r="S93" i="49"/>
  <c r="S83" i="49"/>
  <c r="S84" i="49"/>
  <c r="S85" i="49"/>
  <c r="S86" i="49"/>
  <c r="S87" i="49"/>
  <c r="S88" i="49"/>
  <c r="S89" i="49"/>
  <c r="S90" i="49"/>
  <c r="S91" i="49"/>
  <c r="R90" i="49"/>
  <c r="R91" i="49"/>
  <c r="P93" i="49"/>
  <c r="P83" i="49"/>
  <c r="P84" i="49"/>
  <c r="P85" i="49"/>
  <c r="P86" i="49"/>
  <c r="P87" i="49"/>
  <c r="P88" i="49"/>
  <c r="P89" i="49"/>
  <c r="P90" i="49"/>
  <c r="P91" i="49"/>
  <c r="Q93" i="49"/>
  <c r="Q85" i="49"/>
  <c r="Q87" i="49"/>
  <c r="Q90" i="49"/>
  <c r="Q83" i="49"/>
  <c r="Q89" i="49"/>
  <c r="Q91" i="49"/>
  <c r="Q84" i="49"/>
  <c r="Q86" i="49"/>
  <c r="Q88" i="49"/>
  <c r="O93" i="49"/>
  <c r="O83" i="49"/>
  <c r="O84" i="49"/>
  <c r="O85" i="49"/>
  <c r="O86" i="49"/>
  <c r="O87" i="49"/>
  <c r="O88" i="49"/>
  <c r="O89" i="49"/>
  <c r="O90" i="49"/>
  <c r="O91" i="49"/>
  <c r="G115" i="49"/>
  <c r="F129" i="49"/>
  <c r="N83" i="49"/>
  <c r="N86" i="49"/>
  <c r="N88" i="49"/>
  <c r="N91" i="49"/>
  <c r="N93" i="49"/>
  <c r="N84" i="49"/>
  <c r="N85" i="49"/>
  <c r="N90" i="49"/>
  <c r="N87" i="49"/>
  <c r="N89" i="49"/>
  <c r="T93" i="49"/>
  <c r="T83" i="49"/>
  <c r="T84" i="49"/>
  <c r="T85" i="49"/>
  <c r="T86" i="49"/>
  <c r="T87" i="49"/>
  <c r="T88" i="49"/>
  <c r="T89" i="49"/>
  <c r="T90" i="49"/>
  <c r="T91" i="49"/>
  <c r="F53" i="1"/>
  <c r="G53" i="1" s="1"/>
  <c r="H53" i="1" s="1"/>
  <c r="I53" i="1" s="1"/>
  <c r="J53" i="1" s="1"/>
  <c r="K53" i="1" s="1"/>
  <c r="L53" i="1" s="1"/>
  <c r="M53" i="1" s="1"/>
  <c r="N53" i="1" s="1"/>
  <c r="O53" i="1" s="1"/>
  <c r="P53" i="1" s="1"/>
  <c r="Q53" i="1" s="1"/>
  <c r="R53" i="1" s="1"/>
  <c r="S53" i="1" s="1"/>
  <c r="T53" i="1" s="1"/>
  <c r="U53" i="1" s="1"/>
  <c r="V53" i="1" s="1"/>
  <c r="W53" i="1" s="1"/>
  <c r="X53" i="1" s="1"/>
  <c r="E65" i="1"/>
  <c r="F66" i="1" s="1"/>
  <c r="H92" i="1"/>
  <c r="B139" i="1" a="1"/>
  <c r="K92" i="49"/>
  <c r="J92" i="49"/>
  <c r="I92" i="49"/>
  <c r="H92" i="49"/>
  <c r="M92" i="49"/>
  <c r="G92" i="49"/>
  <c r="L92" i="49"/>
  <c r="H19" i="1"/>
  <c r="H11" i="28" s="1"/>
  <c r="H15" i="1"/>
  <c r="G17" i="1"/>
  <c r="G65" i="1"/>
  <c r="S65" i="1"/>
  <c r="K65" i="1"/>
  <c r="O65" i="1"/>
  <c r="T65" i="1"/>
  <c r="R18" i="17"/>
  <c r="S18" i="17"/>
  <c r="K18" i="17"/>
  <c r="D18" i="17"/>
  <c r="L18" i="17"/>
  <c r="C18" i="17"/>
  <c r="I18" i="17"/>
  <c r="Q18" i="17"/>
  <c r="B18" i="17"/>
  <c r="B23" i="17" s="1"/>
  <c r="O18" i="17"/>
  <c r="J18" i="17"/>
  <c r="H18" i="17"/>
  <c r="M18" i="17"/>
  <c r="N18" i="17"/>
  <c r="P18" i="17"/>
  <c r="G18" i="17"/>
  <c r="L65" i="1"/>
  <c r="R65" i="1"/>
  <c r="N65" i="1"/>
  <c r="J65" i="1"/>
  <c r="F65" i="1"/>
  <c r="F21" i="28" s="1"/>
  <c r="H65" i="1"/>
  <c r="P65" i="1"/>
  <c r="Q65" i="1"/>
  <c r="M65" i="1"/>
  <c r="I65" i="1"/>
  <c r="E23" i="49"/>
  <c r="G64" i="1"/>
  <c r="F71" i="1"/>
  <c r="F86" i="1" s="1"/>
  <c r="F91" i="1" s="1"/>
  <c r="G39" i="1"/>
  <c r="F17" i="1"/>
  <c r="K42" i="1"/>
  <c r="J42" i="1"/>
  <c r="H42" i="1"/>
  <c r="O42" i="1"/>
  <c r="N42" i="1"/>
  <c r="F42" i="1"/>
  <c r="M42" i="1"/>
  <c r="I42" i="1"/>
  <c r="P42" i="1"/>
  <c r="L42" i="1"/>
  <c r="F123" i="1"/>
  <c r="F133" i="1"/>
  <c r="F22" i="58" s="1"/>
  <c r="S33" i="1"/>
  <c r="C23" i="17" l="1"/>
  <c r="R89" i="49"/>
  <c r="R88" i="49"/>
  <c r="R87" i="49"/>
  <c r="R84" i="49"/>
  <c r="R83" i="49"/>
  <c r="R93" i="49"/>
  <c r="F12" i="28"/>
  <c r="F12" i="58"/>
  <c r="G12" i="58"/>
  <c r="G12" i="28"/>
  <c r="R86" i="49"/>
  <c r="F125" i="1"/>
  <c r="M93" i="49"/>
  <c r="M83" i="49"/>
  <c r="M84" i="49"/>
  <c r="M85" i="49"/>
  <c r="M86" i="49"/>
  <c r="M87" i="49"/>
  <c r="M88" i="49"/>
  <c r="M89" i="49"/>
  <c r="M90" i="49"/>
  <c r="M91" i="49"/>
  <c r="I83" i="49"/>
  <c r="I87" i="49"/>
  <c r="I91" i="49"/>
  <c r="I89" i="49"/>
  <c r="I84" i="49"/>
  <c r="I85" i="49"/>
  <c r="I86" i="49"/>
  <c r="I88" i="49"/>
  <c r="I93" i="49"/>
  <c r="I90" i="49"/>
  <c r="H115" i="49"/>
  <c r="G129" i="49"/>
  <c r="H93" i="49"/>
  <c r="H83" i="49"/>
  <c r="H84" i="49"/>
  <c r="H85" i="49"/>
  <c r="H86" i="49"/>
  <c r="H87" i="49"/>
  <c r="H88" i="49"/>
  <c r="H89" i="49"/>
  <c r="H90" i="49"/>
  <c r="H91" i="49"/>
  <c r="L93" i="49"/>
  <c r="L83" i="49"/>
  <c r="L84" i="49"/>
  <c r="L85" i="49"/>
  <c r="L86" i="49"/>
  <c r="L87" i="49"/>
  <c r="L88" i="49"/>
  <c r="L89" i="49"/>
  <c r="L90" i="49"/>
  <c r="L91" i="49"/>
  <c r="G93" i="49"/>
  <c r="G83" i="49"/>
  <c r="G84" i="49"/>
  <c r="G85" i="49"/>
  <c r="G86" i="49"/>
  <c r="G87" i="49"/>
  <c r="G88" i="49"/>
  <c r="G89" i="49"/>
  <c r="G90" i="49"/>
  <c r="G91" i="49"/>
  <c r="J93" i="49"/>
  <c r="J83" i="49"/>
  <c r="J84" i="49"/>
  <c r="J85" i="49"/>
  <c r="J86" i="49"/>
  <c r="J87" i="49"/>
  <c r="J88" i="49"/>
  <c r="J89" i="49"/>
  <c r="J90" i="49"/>
  <c r="J91" i="49"/>
  <c r="K93" i="49"/>
  <c r="K83" i="49"/>
  <c r="K84" i="49"/>
  <c r="K85" i="49"/>
  <c r="K86" i="49"/>
  <c r="K87" i="49"/>
  <c r="K88" i="49"/>
  <c r="K89" i="49"/>
  <c r="K90" i="49"/>
  <c r="K91" i="49"/>
  <c r="G66" i="1"/>
  <c r="H66" i="1" s="1"/>
  <c r="E23" i="17" s="1"/>
  <c r="F108" i="1"/>
  <c r="F114" i="1" s="1"/>
  <c r="F120" i="1" s="1"/>
  <c r="I92" i="1"/>
  <c r="H39" i="1"/>
  <c r="I39" i="1" s="1"/>
  <c r="J39" i="1" s="1"/>
  <c r="K39" i="1" s="1"/>
  <c r="L39" i="1" s="1"/>
  <c r="M39" i="1" s="1"/>
  <c r="N39" i="1" s="1"/>
  <c r="O39" i="1" s="1"/>
  <c r="P39" i="1" s="1"/>
  <c r="Q39" i="1" s="1"/>
  <c r="R39" i="1" s="1"/>
  <c r="S39" i="1" s="1"/>
  <c r="T39" i="1" s="1"/>
  <c r="U39" i="1" s="1"/>
  <c r="V39" i="1" s="1"/>
  <c r="W39" i="1" s="1"/>
  <c r="X39" i="1" s="1"/>
  <c r="B139" i="1"/>
  <c r="C139" i="1"/>
  <c r="I15" i="1"/>
  <c r="H17" i="1"/>
  <c r="I19" i="1"/>
  <c r="I11" i="28" s="1"/>
  <c r="F27" i="1"/>
  <c r="H64" i="1"/>
  <c r="G71" i="1"/>
  <c r="G86" i="1" s="1"/>
  <c r="G91" i="1" s="1"/>
  <c r="F12" i="1"/>
  <c r="F20" i="1"/>
  <c r="F11" i="1"/>
  <c r="G133" i="1"/>
  <c r="G22" i="58" s="1"/>
  <c r="G123" i="1"/>
  <c r="T33" i="1"/>
  <c r="U33" i="1" s="1"/>
  <c r="V33" i="1" s="1"/>
  <c r="W33" i="1" s="1"/>
  <c r="X33" i="1" s="1"/>
  <c r="F126" i="1"/>
  <c r="F124" i="1"/>
  <c r="D23" i="17" l="1"/>
  <c r="H12" i="58"/>
  <c r="H12" i="28"/>
  <c r="G11" i="1"/>
  <c r="F15" i="58"/>
  <c r="F15" i="28"/>
  <c r="G20" i="1"/>
  <c r="F10" i="28"/>
  <c r="F10" i="58"/>
  <c r="G12" i="1"/>
  <c r="F13" i="28"/>
  <c r="F13" i="58"/>
  <c r="F74" i="1"/>
  <c r="F16" i="49" s="1"/>
  <c r="I115" i="49"/>
  <c r="H129" i="49"/>
  <c r="I66" i="1"/>
  <c r="F23" i="17" s="1"/>
  <c r="E95" i="1"/>
  <c r="E99" i="1" s="1"/>
  <c r="G108" i="1"/>
  <c r="G114" i="1" s="1"/>
  <c r="G120" i="1" s="1"/>
  <c r="J92" i="1"/>
  <c r="E16" i="49"/>
  <c r="I17" i="1"/>
  <c r="J15" i="1"/>
  <c r="H20" i="1"/>
  <c r="J19" i="1"/>
  <c r="J11" i="28" s="1"/>
  <c r="H12" i="1"/>
  <c r="H11" i="1"/>
  <c r="E24" i="49"/>
  <c r="F78" i="1"/>
  <c r="F72" i="1"/>
  <c r="E13" i="49"/>
  <c r="F8" i="54"/>
  <c r="F22" i="54" s="1"/>
  <c r="G21" i="28"/>
  <c r="H21" i="28" s="1"/>
  <c r="I21" i="28" s="1"/>
  <c r="J21" i="28" s="1"/>
  <c r="K21" i="28" s="1"/>
  <c r="L21" i="28" s="1"/>
  <c r="M21" i="28" s="1"/>
  <c r="N21" i="28" s="1"/>
  <c r="O21" i="28" s="1"/>
  <c r="P21" i="28" s="1"/>
  <c r="Q21" i="28" s="1"/>
  <c r="R21" i="28" s="1"/>
  <c r="S21" i="28" s="1"/>
  <c r="T21" i="28" s="1"/>
  <c r="U21" i="28" s="1"/>
  <c r="V21" i="28" s="1"/>
  <c r="W21" i="28" s="1"/>
  <c r="X21" i="28" s="1"/>
  <c r="I64" i="1"/>
  <c r="H71" i="1"/>
  <c r="H86" i="1" s="1"/>
  <c r="H91" i="1" s="1"/>
  <c r="E35" i="28"/>
  <c r="F9" i="28"/>
  <c r="E20" i="28"/>
  <c r="E49" i="28"/>
  <c r="E41" i="28"/>
  <c r="E29" i="28"/>
  <c r="H74" i="1"/>
  <c r="M74" i="1"/>
  <c r="N74" i="1"/>
  <c r="O74" i="1"/>
  <c r="J74" i="1"/>
  <c r="L74" i="1"/>
  <c r="G74" i="1"/>
  <c r="I74" i="1"/>
  <c r="K74" i="1"/>
  <c r="P74" i="1"/>
  <c r="F45" i="1"/>
  <c r="F81" i="1"/>
  <c r="G126" i="1"/>
  <c r="G127" i="1" s="1"/>
  <c r="F127" i="1"/>
  <c r="H133" i="1"/>
  <c r="H22" i="58" s="1"/>
  <c r="E18" i="49"/>
  <c r="H123" i="1"/>
  <c r="G124" i="1"/>
  <c r="G125" i="1" s="1"/>
  <c r="G10" i="28" l="1"/>
  <c r="G10" i="58"/>
  <c r="I12" i="58"/>
  <c r="I12" i="28"/>
  <c r="G15" i="58"/>
  <c r="G15" i="28"/>
  <c r="H15" i="28"/>
  <c r="H15" i="58"/>
  <c r="H10" i="58"/>
  <c r="H10" i="28"/>
  <c r="H13" i="58"/>
  <c r="H13" i="28"/>
  <c r="G13" i="58"/>
  <c r="G13" i="28"/>
  <c r="U42" i="1"/>
  <c r="T42" i="1"/>
  <c r="S42" i="1"/>
  <c r="X42" i="1"/>
  <c r="W42" i="1"/>
  <c r="J115" i="49"/>
  <c r="I129" i="49"/>
  <c r="J66" i="1"/>
  <c r="G23" i="17" s="1"/>
  <c r="F29" i="49"/>
  <c r="F95" i="1"/>
  <c r="F99" i="1" s="1"/>
  <c r="H108" i="1"/>
  <c r="H114" i="1" s="1"/>
  <c r="H120" i="1" s="1"/>
  <c r="K92" i="1"/>
  <c r="I133" i="1"/>
  <c r="I22" i="58" s="1"/>
  <c r="K19" i="1"/>
  <c r="K11" i="28" s="1"/>
  <c r="I20" i="1"/>
  <c r="K15" i="1"/>
  <c r="J17" i="1"/>
  <c r="I12" i="1"/>
  <c r="I11" i="1"/>
  <c r="F82" i="1"/>
  <c r="F24" i="49" s="1"/>
  <c r="E20" i="49"/>
  <c r="F79" i="1"/>
  <c r="E21" i="49"/>
  <c r="E34" i="49" s="1"/>
  <c r="G72" i="1"/>
  <c r="F13" i="49"/>
  <c r="G81" i="1"/>
  <c r="G23" i="49" s="1"/>
  <c r="F23" i="49"/>
  <c r="G78" i="1"/>
  <c r="F20" i="49"/>
  <c r="H16" i="49"/>
  <c r="I16" i="49"/>
  <c r="M16" i="49"/>
  <c r="G16" i="49"/>
  <c r="N16" i="49"/>
  <c r="L16" i="49"/>
  <c r="P16" i="49"/>
  <c r="K16" i="49"/>
  <c r="J16" i="49"/>
  <c r="O16" i="49"/>
  <c r="J64" i="1"/>
  <c r="I71" i="1"/>
  <c r="I86" i="1" s="1"/>
  <c r="I91" i="1" s="1"/>
  <c r="G9" i="28"/>
  <c r="F29" i="28"/>
  <c r="F35" i="28"/>
  <c r="F41" i="28"/>
  <c r="F20" i="28"/>
  <c r="F49" i="28"/>
  <c r="Q42" i="1"/>
  <c r="V42" i="1"/>
  <c r="R42" i="1"/>
  <c r="I123" i="1"/>
  <c r="G45" i="1"/>
  <c r="F75" i="1"/>
  <c r="F18" i="49" s="1"/>
  <c r="F128" i="1"/>
  <c r="F21" i="58" s="1"/>
  <c r="H126" i="1"/>
  <c r="G128" i="1"/>
  <c r="G21" i="58" s="1"/>
  <c r="H124" i="1"/>
  <c r="I124" i="1" s="1"/>
  <c r="J124" i="1" s="1"/>
  <c r="K124" i="1" s="1"/>
  <c r="L124" i="1" s="1"/>
  <c r="M124" i="1" s="1"/>
  <c r="N124" i="1" s="1"/>
  <c r="O124" i="1" s="1"/>
  <c r="P124" i="1" s="1"/>
  <c r="Q124" i="1" s="1"/>
  <c r="R124" i="1" s="1"/>
  <c r="S124" i="1" s="1"/>
  <c r="T124" i="1" s="1"/>
  <c r="U124" i="1" s="1"/>
  <c r="V124" i="1" s="1"/>
  <c r="W124" i="1" s="1"/>
  <c r="X124" i="1" s="1"/>
  <c r="J12" i="58" l="1"/>
  <c r="J12" i="28"/>
  <c r="X74" i="1"/>
  <c r="X16" i="49" s="1"/>
  <c r="I10" i="58"/>
  <c r="I10" i="28"/>
  <c r="I15" i="58"/>
  <c r="I15" i="28"/>
  <c r="I13" i="28"/>
  <c r="I13" i="58"/>
  <c r="W74" i="1"/>
  <c r="W16" i="49" s="1"/>
  <c r="K115" i="49"/>
  <c r="J129" i="49"/>
  <c r="K66" i="1"/>
  <c r="H23" i="17" s="1"/>
  <c r="S74" i="1"/>
  <c r="S16" i="49" s="1"/>
  <c r="G29" i="49"/>
  <c r="G95" i="1"/>
  <c r="G99" i="1" s="1"/>
  <c r="I108" i="1"/>
  <c r="I114" i="1" s="1"/>
  <c r="I120" i="1" s="1"/>
  <c r="L92" i="1"/>
  <c r="E23" i="58"/>
  <c r="E37" i="58" s="1"/>
  <c r="J133" i="1"/>
  <c r="J22" i="58" s="1"/>
  <c r="T74" i="1"/>
  <c r="T16" i="49" s="1"/>
  <c r="L19" i="1"/>
  <c r="L11" i="28" s="1"/>
  <c r="J20" i="1"/>
  <c r="K17" i="1"/>
  <c r="L15" i="1"/>
  <c r="U74" i="1"/>
  <c r="U16" i="49" s="1"/>
  <c r="E60" i="49"/>
  <c r="E111" i="49" s="1"/>
  <c r="J12" i="1"/>
  <c r="J11" i="1"/>
  <c r="G82" i="1"/>
  <c r="G24" i="49" s="1"/>
  <c r="H81" i="1"/>
  <c r="H23" i="49" s="1"/>
  <c r="F77" i="1"/>
  <c r="E17" i="49"/>
  <c r="G8" i="54"/>
  <c r="G22" i="54" s="1"/>
  <c r="G13" i="49"/>
  <c r="H72" i="1"/>
  <c r="G20" i="49"/>
  <c r="H78" i="1"/>
  <c r="G79" i="1"/>
  <c r="F21" i="49"/>
  <c r="F34" i="49" s="1"/>
  <c r="K64" i="1"/>
  <c r="J71" i="1"/>
  <c r="J86" i="1" s="1"/>
  <c r="J91" i="1" s="1"/>
  <c r="H9" i="28"/>
  <c r="G35" i="28"/>
  <c r="G49" i="28"/>
  <c r="G29" i="28"/>
  <c r="G41" i="28"/>
  <c r="G20" i="28"/>
  <c r="Q74" i="1"/>
  <c r="V74" i="1"/>
  <c r="R74" i="1"/>
  <c r="H125" i="1"/>
  <c r="J123" i="1"/>
  <c r="I125" i="1"/>
  <c r="H127" i="1"/>
  <c r="I126" i="1"/>
  <c r="H45" i="1"/>
  <c r="E19" i="49"/>
  <c r="E35" i="49" s="1"/>
  <c r="G75" i="1"/>
  <c r="G18" i="49" s="1"/>
  <c r="K12" i="58" l="1"/>
  <c r="K12" i="28"/>
  <c r="J10" i="28"/>
  <c r="J10" i="58"/>
  <c r="J15" i="58"/>
  <c r="J15" i="28"/>
  <c r="J13" i="28"/>
  <c r="J13" i="58"/>
  <c r="L115" i="49"/>
  <c r="K129" i="49"/>
  <c r="L66" i="1"/>
  <c r="I23" i="17" s="1"/>
  <c r="H29" i="49"/>
  <c r="H95" i="1"/>
  <c r="H99" i="1" s="1"/>
  <c r="J108" i="1"/>
  <c r="J114" i="1" s="1"/>
  <c r="J120" i="1" s="1"/>
  <c r="M92" i="1"/>
  <c r="H8" i="54"/>
  <c r="H22" i="54" s="1"/>
  <c r="K133" i="1"/>
  <c r="K22" i="58" s="1"/>
  <c r="H82" i="1"/>
  <c r="M15" i="1"/>
  <c r="L17" i="1"/>
  <c r="M19" i="1"/>
  <c r="M11" i="28" s="1"/>
  <c r="K20" i="1"/>
  <c r="F60" i="49"/>
  <c r="F111" i="49" s="1"/>
  <c r="E63" i="49"/>
  <c r="E112" i="49" s="1"/>
  <c r="K12" i="1"/>
  <c r="K11" i="1"/>
  <c r="I81" i="1"/>
  <c r="I23" i="49" s="1"/>
  <c r="G77" i="1"/>
  <c r="F17" i="49"/>
  <c r="G21" i="49"/>
  <c r="G34" i="49" s="1"/>
  <c r="H79" i="1"/>
  <c r="H20" i="49"/>
  <c r="I78" i="1"/>
  <c r="E36" i="49"/>
  <c r="I72" i="1"/>
  <c r="H13" i="49"/>
  <c r="E33" i="49"/>
  <c r="V16" i="49"/>
  <c r="Q16" i="49"/>
  <c r="R16" i="49"/>
  <c r="L64" i="1"/>
  <c r="K71" i="1"/>
  <c r="K86" i="1" s="1"/>
  <c r="K91" i="1" s="1"/>
  <c r="H20" i="28"/>
  <c r="H49" i="28"/>
  <c r="I9" i="28"/>
  <c r="H35" i="28"/>
  <c r="H41" i="28"/>
  <c r="H29" i="28"/>
  <c r="H128" i="1"/>
  <c r="H21" i="58" s="1"/>
  <c r="J126" i="1"/>
  <c r="I127" i="1"/>
  <c r="I128" i="1" s="1"/>
  <c r="I21" i="58" s="1"/>
  <c r="K123" i="1"/>
  <c r="J125" i="1"/>
  <c r="I45" i="1"/>
  <c r="F76" i="1"/>
  <c r="F19" i="49" s="1"/>
  <c r="F35" i="49" s="1"/>
  <c r="E80" i="1"/>
  <c r="H75" i="1"/>
  <c r="H18" i="49" s="1"/>
  <c r="K15" i="28" l="1"/>
  <c r="K15" i="58"/>
  <c r="K13" i="28"/>
  <c r="K13" i="58"/>
  <c r="K10" i="28"/>
  <c r="K10" i="58"/>
  <c r="L12" i="28"/>
  <c r="L12" i="58"/>
  <c r="M115" i="49"/>
  <c r="L129" i="49"/>
  <c r="M66" i="1"/>
  <c r="J23" i="17" s="1"/>
  <c r="I29" i="49"/>
  <c r="I95" i="1"/>
  <c r="I99" i="1" s="1"/>
  <c r="K108" i="1"/>
  <c r="K114" i="1" s="1"/>
  <c r="K120" i="1" s="1"/>
  <c r="N92" i="1"/>
  <c r="L133" i="1"/>
  <c r="L22" i="58" s="1"/>
  <c r="G23" i="58"/>
  <c r="G37" i="58" s="1"/>
  <c r="I8" i="54"/>
  <c r="I22" i="54" s="1"/>
  <c r="F23" i="58"/>
  <c r="F37" i="58" s="1"/>
  <c r="H24" i="49"/>
  <c r="I82" i="1"/>
  <c r="L20" i="1"/>
  <c r="M17" i="1"/>
  <c r="N15" i="1"/>
  <c r="N19" i="1"/>
  <c r="N11" i="28" s="1"/>
  <c r="E66" i="49"/>
  <c r="E113" i="49" s="1"/>
  <c r="E57" i="49"/>
  <c r="E110" i="49" s="1"/>
  <c r="F63" i="49"/>
  <c r="F112" i="49" s="1"/>
  <c r="L12" i="1"/>
  <c r="L11" i="1"/>
  <c r="J81" i="1"/>
  <c r="J23" i="49" s="1"/>
  <c r="G60" i="49"/>
  <c r="G111" i="49" s="1"/>
  <c r="F33" i="49"/>
  <c r="I20" i="49"/>
  <c r="J78" i="1"/>
  <c r="E22" i="49"/>
  <c r="H21" i="49"/>
  <c r="H34" i="49" s="1"/>
  <c r="I79" i="1"/>
  <c r="I13" i="49"/>
  <c r="J72" i="1"/>
  <c r="F36" i="49"/>
  <c r="G17" i="49"/>
  <c r="H77" i="1"/>
  <c r="M64" i="1"/>
  <c r="L71" i="1"/>
  <c r="L86" i="1" s="1"/>
  <c r="L91" i="1" s="1"/>
  <c r="I41" i="28"/>
  <c r="I35" i="28"/>
  <c r="I49" i="28"/>
  <c r="I29" i="28"/>
  <c r="I20" i="28"/>
  <c r="J9" i="28"/>
  <c r="K126" i="1"/>
  <c r="J127" i="1"/>
  <c r="J128" i="1" s="1"/>
  <c r="J21" i="58" s="1"/>
  <c r="L123" i="1"/>
  <c r="K125" i="1"/>
  <c r="J45" i="1"/>
  <c r="G76" i="1"/>
  <c r="G19" i="49" s="1"/>
  <c r="G35" i="49" s="1"/>
  <c r="F80" i="1"/>
  <c r="I75" i="1"/>
  <c r="I18" i="49" s="1"/>
  <c r="E8" i="54"/>
  <c r="E22" i="54" s="1"/>
  <c r="M12" i="28" l="1"/>
  <c r="M12" i="58"/>
  <c r="L15" i="28"/>
  <c r="L15" i="58"/>
  <c r="L10" i="28"/>
  <c r="L10" i="58"/>
  <c r="L13" i="58"/>
  <c r="L13" i="28"/>
  <c r="N115" i="49"/>
  <c r="M129" i="49"/>
  <c r="N66" i="1"/>
  <c r="K23" i="17" s="1"/>
  <c r="J29" i="49"/>
  <c r="J95" i="1"/>
  <c r="J99" i="1" s="1"/>
  <c r="L108" i="1"/>
  <c r="L114" i="1" s="1"/>
  <c r="L120" i="1" s="1"/>
  <c r="O92" i="1"/>
  <c r="M133" i="1"/>
  <c r="M22" i="58" s="1"/>
  <c r="J8" i="54"/>
  <c r="J22" i="54" s="1"/>
  <c r="H23" i="58"/>
  <c r="H37" i="58" s="1"/>
  <c r="I24" i="49"/>
  <c r="J82" i="1"/>
  <c r="M20" i="1"/>
  <c r="O15" i="1"/>
  <c r="N17" i="1"/>
  <c r="O19" i="1"/>
  <c r="O11" i="28" s="1"/>
  <c r="F66" i="49"/>
  <c r="G63" i="49"/>
  <c r="G112" i="49" s="1"/>
  <c r="F57" i="49"/>
  <c r="F110" i="49" s="1"/>
  <c r="I21" i="174" s="1"/>
  <c r="M12" i="1"/>
  <c r="M11" i="1"/>
  <c r="K81" i="1"/>
  <c r="K23" i="49" s="1"/>
  <c r="F22" i="49"/>
  <c r="H17" i="49"/>
  <c r="I77" i="1"/>
  <c r="G33" i="49"/>
  <c r="I21" i="49"/>
  <c r="I34" i="49" s="1"/>
  <c r="J79" i="1"/>
  <c r="G36" i="49"/>
  <c r="H60" i="49"/>
  <c r="H111" i="49" s="1"/>
  <c r="J13" i="49"/>
  <c r="K72" i="1"/>
  <c r="J20" i="49"/>
  <c r="K78" i="1"/>
  <c r="N64" i="1"/>
  <c r="M71" i="1"/>
  <c r="M86" i="1" s="1"/>
  <c r="M91" i="1" s="1"/>
  <c r="J41" i="28"/>
  <c r="K9" i="28"/>
  <c r="J49" i="28"/>
  <c r="J20" i="28"/>
  <c r="J35" i="28"/>
  <c r="J29" i="28"/>
  <c r="L126" i="1"/>
  <c r="K127" i="1"/>
  <c r="K128" i="1" s="1"/>
  <c r="K21" i="58" s="1"/>
  <c r="L125" i="1"/>
  <c r="M123" i="1"/>
  <c r="K45" i="1"/>
  <c r="H76" i="1"/>
  <c r="H19" i="49" s="1"/>
  <c r="H35" i="49" s="1"/>
  <c r="G80" i="1"/>
  <c r="J75" i="1"/>
  <c r="J18" i="49" s="1"/>
  <c r="N12" i="28" l="1"/>
  <c r="N12" i="58"/>
  <c r="M15" i="28"/>
  <c r="M15" i="58"/>
  <c r="M10" i="28"/>
  <c r="M10" i="58"/>
  <c r="M13" i="58"/>
  <c r="M13" i="28"/>
  <c r="O115" i="49"/>
  <c r="N129" i="49"/>
  <c r="O66" i="1"/>
  <c r="L23" i="17" s="1"/>
  <c r="K29" i="49"/>
  <c r="K95" i="1"/>
  <c r="K99" i="1" s="1"/>
  <c r="M108" i="1"/>
  <c r="M114" i="1" s="1"/>
  <c r="M120" i="1" s="1"/>
  <c r="P92" i="1"/>
  <c r="I23" i="58"/>
  <c r="I37" i="58" s="1"/>
  <c r="K8" i="54"/>
  <c r="K22" i="54" s="1"/>
  <c r="N133" i="1"/>
  <c r="N22" i="58" s="1"/>
  <c r="G22" i="49"/>
  <c r="J24" i="49"/>
  <c r="K82" i="1"/>
  <c r="O17" i="1"/>
  <c r="P15" i="1"/>
  <c r="P19" i="1"/>
  <c r="P11" i="28" s="1"/>
  <c r="N20" i="1"/>
  <c r="L81" i="1"/>
  <c r="L23" i="49" s="1"/>
  <c r="H63" i="49"/>
  <c r="H112" i="49" s="1"/>
  <c r="N12" i="1"/>
  <c r="N11" i="1"/>
  <c r="K20" i="49"/>
  <c r="L78" i="1"/>
  <c r="H36" i="49"/>
  <c r="G66" i="49"/>
  <c r="G113" i="49" s="1"/>
  <c r="G57" i="49"/>
  <c r="G110" i="49" s="1"/>
  <c r="J21" i="174" s="1"/>
  <c r="J21" i="49"/>
  <c r="J34" i="49" s="1"/>
  <c r="K79" i="1"/>
  <c r="I60" i="49"/>
  <c r="I111" i="49" s="1"/>
  <c r="K13" i="49"/>
  <c r="L72" i="1"/>
  <c r="I17" i="49"/>
  <c r="J77" i="1"/>
  <c r="H33" i="49"/>
  <c r="O64" i="1"/>
  <c r="N71" i="1"/>
  <c r="N86" i="1" s="1"/>
  <c r="N91" i="1" s="1"/>
  <c r="K35" i="28"/>
  <c r="K49" i="28"/>
  <c r="K41" i="28"/>
  <c r="K20" i="28"/>
  <c r="K29" i="28"/>
  <c r="L9" i="28"/>
  <c r="M125" i="1"/>
  <c r="N123" i="1"/>
  <c r="L127" i="1"/>
  <c r="L128" i="1" s="1"/>
  <c r="L21" i="58" s="1"/>
  <c r="M126" i="1"/>
  <c r="L45" i="1"/>
  <c r="K75" i="1"/>
  <c r="K18" i="49" s="1"/>
  <c r="I76" i="1"/>
  <c r="I19" i="49" s="1"/>
  <c r="I35" i="49" s="1"/>
  <c r="H80" i="1"/>
  <c r="N10" i="28" l="1"/>
  <c r="N10" i="58"/>
  <c r="O12" i="58"/>
  <c r="O12" i="28"/>
  <c r="N15" i="58"/>
  <c r="N15" i="28"/>
  <c r="N13" i="28"/>
  <c r="N13" i="58"/>
  <c r="P115" i="49"/>
  <c r="O129" i="49"/>
  <c r="P66" i="1"/>
  <c r="M23" i="17" s="1"/>
  <c r="L29" i="49"/>
  <c r="L95" i="1"/>
  <c r="L99" i="1" s="1"/>
  <c r="N108" i="1"/>
  <c r="N114" i="1" s="1"/>
  <c r="N120" i="1" s="1"/>
  <c r="Q92" i="1"/>
  <c r="J23" i="58"/>
  <c r="J37" i="58" s="1"/>
  <c r="L8" i="54"/>
  <c r="L22" i="54" s="1"/>
  <c r="O133" i="1"/>
  <c r="O22" i="58" s="1"/>
  <c r="K24" i="49"/>
  <c r="L82" i="1"/>
  <c r="O20" i="1"/>
  <c r="Q19" i="1"/>
  <c r="Q11" i="28" s="1"/>
  <c r="P17" i="1"/>
  <c r="Q15" i="1"/>
  <c r="M81" i="1"/>
  <c r="M23" i="49" s="1"/>
  <c r="I63" i="49"/>
  <c r="I112" i="49" s="1"/>
  <c r="O12" i="1"/>
  <c r="O11" i="1"/>
  <c r="I33" i="49"/>
  <c r="K21" i="49"/>
  <c r="K34" i="49" s="1"/>
  <c r="L79" i="1"/>
  <c r="I36" i="49"/>
  <c r="J17" i="49"/>
  <c r="K77" i="1"/>
  <c r="J60" i="49"/>
  <c r="J111" i="49" s="1"/>
  <c r="H66" i="49"/>
  <c r="H113" i="49" s="1"/>
  <c r="H22" i="49"/>
  <c r="L13" i="49"/>
  <c r="M72" i="1"/>
  <c r="L20" i="49"/>
  <c r="M78" i="1"/>
  <c r="H57" i="49"/>
  <c r="H110" i="49" s="1"/>
  <c r="K21" i="174" s="1"/>
  <c r="E38" i="58"/>
  <c r="E39" i="58" s="1"/>
  <c r="P64" i="1"/>
  <c r="O71" i="1"/>
  <c r="O86" i="1" s="1"/>
  <c r="O91" i="1" s="1"/>
  <c r="M9" i="28"/>
  <c r="L35" i="28"/>
  <c r="L49" i="28"/>
  <c r="L20" i="28"/>
  <c r="L41" i="28"/>
  <c r="L29" i="28"/>
  <c r="N126" i="1"/>
  <c r="M127" i="1"/>
  <c r="M128" i="1" s="1"/>
  <c r="M21" i="58" s="1"/>
  <c r="N125" i="1"/>
  <c r="O123" i="1"/>
  <c r="M45" i="1"/>
  <c r="L75" i="1"/>
  <c r="L18" i="49" s="1"/>
  <c r="J76" i="1"/>
  <c r="J19" i="49" s="1"/>
  <c r="J35" i="49" s="1"/>
  <c r="I80" i="1"/>
  <c r="O13" i="58" l="1"/>
  <c r="O13" i="28"/>
  <c r="P12" i="58"/>
  <c r="P12" i="28"/>
  <c r="O10" i="28"/>
  <c r="O10" i="58"/>
  <c r="O15" i="58"/>
  <c r="O15" i="28"/>
  <c r="Q115" i="49"/>
  <c r="P129" i="49"/>
  <c r="Q66" i="1"/>
  <c r="N23" i="17" s="1"/>
  <c r="M29" i="49"/>
  <c r="M95" i="1"/>
  <c r="M99" i="1" s="1"/>
  <c r="O108" i="1"/>
  <c r="O114" i="1" s="1"/>
  <c r="O120" i="1" s="1"/>
  <c r="R92" i="1"/>
  <c r="K23" i="58"/>
  <c r="K37" i="58" s="1"/>
  <c r="M8" i="54"/>
  <c r="M22" i="54" s="1"/>
  <c r="P133" i="1"/>
  <c r="P22" i="58" s="1"/>
  <c r="L24" i="49"/>
  <c r="M82" i="1"/>
  <c r="R19" i="1"/>
  <c r="R11" i="28" s="1"/>
  <c r="R15" i="1"/>
  <c r="Q17" i="1"/>
  <c r="N81" i="1"/>
  <c r="N23" i="49" s="1"/>
  <c r="P20" i="1"/>
  <c r="J63" i="49"/>
  <c r="J112" i="49" s="1"/>
  <c r="P12" i="1"/>
  <c r="P11" i="1"/>
  <c r="I22" i="49"/>
  <c r="E48" i="58"/>
  <c r="E43" i="58"/>
  <c r="M20" i="49"/>
  <c r="N78" i="1"/>
  <c r="J36" i="49"/>
  <c r="K17" i="49"/>
  <c r="L77" i="1"/>
  <c r="K60" i="49"/>
  <c r="K111" i="49" s="1"/>
  <c r="I66" i="49"/>
  <c r="I113" i="49" s="1"/>
  <c r="F36" i="58"/>
  <c r="L21" i="49"/>
  <c r="L34" i="49" s="1"/>
  <c r="M79" i="1"/>
  <c r="M13" i="49"/>
  <c r="N72" i="1"/>
  <c r="J33" i="49"/>
  <c r="I57" i="49"/>
  <c r="I110" i="49" s="1"/>
  <c r="L21" i="174" s="1"/>
  <c r="E23" i="54"/>
  <c r="Q64" i="1"/>
  <c r="P71" i="1"/>
  <c r="P86" i="1" s="1"/>
  <c r="P91" i="1" s="1"/>
  <c r="M20" i="28"/>
  <c r="M29" i="28"/>
  <c r="N9" i="28"/>
  <c r="M35" i="28"/>
  <c r="M49" i="28"/>
  <c r="M41" i="28"/>
  <c r="O125" i="1"/>
  <c r="P123" i="1"/>
  <c r="N127" i="1"/>
  <c r="N128" i="1" s="1"/>
  <c r="N21" i="58" s="1"/>
  <c r="O126" i="1"/>
  <c r="N45" i="1"/>
  <c r="K76" i="1"/>
  <c r="K19" i="49" s="1"/>
  <c r="K35" i="49" s="1"/>
  <c r="J80" i="1"/>
  <c r="M75" i="1"/>
  <c r="M18" i="49" s="1"/>
  <c r="P13" i="58" l="1"/>
  <c r="P13" i="28"/>
  <c r="P10" i="28"/>
  <c r="P10" i="58"/>
  <c r="Q12" i="28"/>
  <c r="Q12" i="58"/>
  <c r="P15" i="28"/>
  <c r="P15" i="58"/>
  <c r="E24" i="54"/>
  <c r="E28" i="54" s="1"/>
  <c r="E14" i="54" s="1"/>
  <c r="F21" i="54"/>
  <c r="E13" i="54"/>
  <c r="R115" i="49"/>
  <c r="Q129" i="49"/>
  <c r="R66" i="1"/>
  <c r="O23" i="17" s="1"/>
  <c r="N29" i="49"/>
  <c r="N95" i="1"/>
  <c r="N99" i="1" s="1"/>
  <c r="P108" i="1"/>
  <c r="P114" i="1" s="1"/>
  <c r="P120" i="1" s="1"/>
  <c r="S92" i="1"/>
  <c r="N8" i="54"/>
  <c r="N22" i="54" s="1"/>
  <c r="L23" i="58"/>
  <c r="L37" i="58" s="1"/>
  <c r="Q133" i="1"/>
  <c r="Q22" i="58" s="1"/>
  <c r="O81" i="1"/>
  <c r="O23" i="49" s="1"/>
  <c r="M24" i="49"/>
  <c r="N82" i="1"/>
  <c r="S15" i="1"/>
  <c r="R17" i="1"/>
  <c r="J22" i="49"/>
  <c r="Q20" i="1"/>
  <c r="S19" i="1"/>
  <c r="S11" i="28" s="1"/>
  <c r="K63" i="49"/>
  <c r="K112" i="49" s="1"/>
  <c r="Q12" i="1"/>
  <c r="Q11" i="1"/>
  <c r="E44" i="58"/>
  <c r="F42" i="58" s="1"/>
  <c r="L60" i="49"/>
  <c r="L111" i="49" s="1"/>
  <c r="K36" i="49"/>
  <c r="M21" i="49"/>
  <c r="M34" i="49" s="1"/>
  <c r="N79" i="1"/>
  <c r="J66" i="49"/>
  <c r="J113" i="49" s="1"/>
  <c r="J57" i="49"/>
  <c r="J110" i="49" s="1"/>
  <c r="M21" i="174" s="1"/>
  <c r="N13" i="49"/>
  <c r="O72" i="1"/>
  <c r="F38" i="58"/>
  <c r="F39" i="58" s="1"/>
  <c r="N20" i="49"/>
  <c r="O78" i="1"/>
  <c r="L17" i="49"/>
  <c r="M77" i="1"/>
  <c r="K33" i="49"/>
  <c r="R64" i="1"/>
  <c r="Q71" i="1"/>
  <c r="Q86" i="1" s="1"/>
  <c r="Q91" i="1" s="1"/>
  <c r="N20" i="28"/>
  <c r="N29" i="28"/>
  <c r="O9" i="28"/>
  <c r="N35" i="28"/>
  <c r="N41" i="28"/>
  <c r="N49" i="28"/>
  <c r="O127" i="1"/>
  <c r="O128" i="1" s="1"/>
  <c r="O21" i="58" s="1"/>
  <c r="P126" i="1"/>
  <c r="Q123" i="1"/>
  <c r="P125" i="1"/>
  <c r="O45" i="1"/>
  <c r="N75" i="1"/>
  <c r="N18" i="49" s="1"/>
  <c r="L76" i="1"/>
  <c r="L19" i="49" s="1"/>
  <c r="L35" i="49" s="1"/>
  <c r="K80" i="1"/>
  <c r="R12" i="58" l="1"/>
  <c r="R12" i="28"/>
  <c r="Q15" i="58"/>
  <c r="Q15" i="28"/>
  <c r="Q13" i="28"/>
  <c r="Q13" i="58"/>
  <c r="Q10" i="28"/>
  <c r="Q10" i="58"/>
  <c r="E33" i="54"/>
  <c r="F23" i="54"/>
  <c r="S115" i="49"/>
  <c r="R129" i="49"/>
  <c r="S66" i="1"/>
  <c r="P23" i="17" s="1"/>
  <c r="O29" i="49"/>
  <c r="O95" i="1"/>
  <c r="O99" i="1" s="1"/>
  <c r="Q108" i="1"/>
  <c r="Q114" i="1" s="1"/>
  <c r="Q120" i="1" s="1"/>
  <c r="T92" i="1"/>
  <c r="O8" i="54"/>
  <c r="O22" i="54" s="1"/>
  <c r="M23" i="58"/>
  <c r="M37" i="58" s="1"/>
  <c r="R133" i="1"/>
  <c r="R22" i="58" s="1"/>
  <c r="P81" i="1"/>
  <c r="P23" i="49" s="1"/>
  <c r="N24" i="49"/>
  <c r="O82" i="1"/>
  <c r="T19" i="1"/>
  <c r="T11" i="28" s="1"/>
  <c r="S17" i="1"/>
  <c r="T15" i="1"/>
  <c r="R20" i="1"/>
  <c r="L63" i="49"/>
  <c r="L112" i="49" s="1"/>
  <c r="R12" i="1"/>
  <c r="R11" i="1"/>
  <c r="E45" i="58"/>
  <c r="E49" i="58" s="1"/>
  <c r="E50" i="58" s="1"/>
  <c r="K22" i="49"/>
  <c r="L36" i="49"/>
  <c r="K57" i="49"/>
  <c r="K110" i="49" s="1"/>
  <c r="N21" i="174" s="1"/>
  <c r="N21" i="49"/>
  <c r="N34" i="49" s="1"/>
  <c r="O79" i="1"/>
  <c r="F43" i="58"/>
  <c r="F48" i="58"/>
  <c r="L33" i="49"/>
  <c r="G36" i="58"/>
  <c r="F28" i="58"/>
  <c r="M60" i="49"/>
  <c r="M111" i="49" s="1"/>
  <c r="M17" i="49"/>
  <c r="N77" i="1"/>
  <c r="O20" i="49"/>
  <c r="P78" i="1"/>
  <c r="O13" i="49"/>
  <c r="P72" i="1"/>
  <c r="K66" i="49"/>
  <c r="K113" i="49" s="1"/>
  <c r="E29" i="54"/>
  <c r="F27" i="54" s="1"/>
  <c r="S64" i="1"/>
  <c r="R71" i="1"/>
  <c r="R86" i="1" s="1"/>
  <c r="R91" i="1" s="1"/>
  <c r="O20" i="28"/>
  <c r="O29" i="28"/>
  <c r="O41" i="28"/>
  <c r="O35" i="28"/>
  <c r="O49" i="28"/>
  <c r="P9" i="28"/>
  <c r="Q125" i="1"/>
  <c r="R123" i="1"/>
  <c r="Q126" i="1"/>
  <c r="P127" i="1"/>
  <c r="P128" i="1" s="1"/>
  <c r="P21" i="58" s="1"/>
  <c r="P45" i="1"/>
  <c r="O75" i="1"/>
  <c r="O18" i="49" s="1"/>
  <c r="M76" i="1"/>
  <c r="M19" i="49" s="1"/>
  <c r="M35" i="49" s="1"/>
  <c r="L80" i="1"/>
  <c r="R10" i="28" l="1"/>
  <c r="R10" i="58"/>
  <c r="S12" i="58"/>
  <c r="S12" i="28"/>
  <c r="R15" i="58"/>
  <c r="R15" i="28"/>
  <c r="R13" i="28"/>
  <c r="R13" i="58"/>
  <c r="G21" i="54"/>
  <c r="F13" i="54"/>
  <c r="F24" i="54"/>
  <c r="F28" i="54" s="1"/>
  <c r="T115" i="49"/>
  <c r="S129" i="49"/>
  <c r="T66" i="1"/>
  <c r="Q23" i="17" s="1"/>
  <c r="P29" i="49"/>
  <c r="P95" i="1"/>
  <c r="P99" i="1" s="1"/>
  <c r="R108" i="1"/>
  <c r="R114" i="1" s="1"/>
  <c r="R120" i="1" s="1"/>
  <c r="U92" i="1"/>
  <c r="N23" i="58"/>
  <c r="N37" i="58" s="1"/>
  <c r="S133" i="1"/>
  <c r="S22" i="58" s="1"/>
  <c r="Q81" i="1"/>
  <c r="Q23" i="49" s="1"/>
  <c r="O24" i="49"/>
  <c r="P82" i="1"/>
  <c r="U19" i="1"/>
  <c r="U11" i="28" s="1"/>
  <c r="S20" i="1"/>
  <c r="U15" i="1"/>
  <c r="T17" i="1"/>
  <c r="M63" i="49"/>
  <c r="M112" i="49" s="1"/>
  <c r="S12" i="1"/>
  <c r="S11" i="1"/>
  <c r="E32" i="58"/>
  <c r="E53" i="58" s="1"/>
  <c r="E54" i="58" s="1"/>
  <c r="E55" i="58" s="1"/>
  <c r="M33" i="49"/>
  <c r="L66" i="49"/>
  <c r="L113" i="49" s="1"/>
  <c r="M36" i="49"/>
  <c r="F29" i="58"/>
  <c r="F44" i="58"/>
  <c r="O21" i="49"/>
  <c r="O34" i="49" s="1"/>
  <c r="P79" i="1"/>
  <c r="P8" i="54"/>
  <c r="P22" i="54" s="1"/>
  <c r="G38" i="58"/>
  <c r="G39" i="58" s="1"/>
  <c r="P20" i="49"/>
  <c r="Q78" i="1"/>
  <c r="L57" i="49"/>
  <c r="L110" i="49" s="1"/>
  <c r="O21" i="174" s="1"/>
  <c r="N17" i="49"/>
  <c r="O77" i="1"/>
  <c r="P13" i="49"/>
  <c r="Q72" i="1"/>
  <c r="N60" i="49"/>
  <c r="N111" i="49" s="1"/>
  <c r="L22" i="49"/>
  <c r="E30" i="54"/>
  <c r="E34" i="54" s="1"/>
  <c r="E35" i="54" s="1"/>
  <c r="T64" i="1"/>
  <c r="S71" i="1"/>
  <c r="S86" i="1" s="1"/>
  <c r="S91" i="1" s="1"/>
  <c r="P20" i="28"/>
  <c r="P41" i="28"/>
  <c r="Q9" i="28"/>
  <c r="P29" i="28"/>
  <c r="P35" i="28"/>
  <c r="P49" i="28"/>
  <c r="R126" i="1"/>
  <c r="Q127" i="1"/>
  <c r="Q128" i="1" s="1"/>
  <c r="Q21" i="58" s="1"/>
  <c r="S123" i="1"/>
  <c r="R125" i="1"/>
  <c r="Q45" i="1"/>
  <c r="P75" i="1"/>
  <c r="P18" i="49" s="1"/>
  <c r="N76" i="1"/>
  <c r="N19" i="49" s="1"/>
  <c r="N35" i="49" s="1"/>
  <c r="M80" i="1"/>
  <c r="S15" i="28" l="1"/>
  <c r="S15" i="58"/>
  <c r="S13" i="28"/>
  <c r="S13" i="58"/>
  <c r="T12" i="28"/>
  <c r="T12" i="58"/>
  <c r="S10" i="28"/>
  <c r="S10" i="58"/>
  <c r="F33" i="54"/>
  <c r="G23" i="54"/>
  <c r="G24" i="54" s="1"/>
  <c r="G28" i="54" s="1"/>
  <c r="U115" i="49"/>
  <c r="T129" i="49"/>
  <c r="E17" i="54"/>
  <c r="E38" i="54" s="1"/>
  <c r="E16" i="54"/>
  <c r="U66" i="1"/>
  <c r="R23" i="17" s="1"/>
  <c r="Q29" i="49"/>
  <c r="Q95" i="1"/>
  <c r="Q99" i="1" s="1"/>
  <c r="S108" i="1"/>
  <c r="S114" i="1" s="1"/>
  <c r="S120" i="1" s="1"/>
  <c r="V92" i="1"/>
  <c r="W92" i="1" s="1"/>
  <c r="X92" i="1" s="1"/>
  <c r="T133" i="1"/>
  <c r="T22" i="58" s="1"/>
  <c r="O23" i="58"/>
  <c r="O37" i="58" s="1"/>
  <c r="R81" i="1"/>
  <c r="R23" i="49" s="1"/>
  <c r="P24" i="49"/>
  <c r="Q82" i="1"/>
  <c r="T20" i="1"/>
  <c r="U17" i="1"/>
  <c r="V15" i="1"/>
  <c r="V19" i="1"/>
  <c r="V11" i="28" s="1"/>
  <c r="N63" i="49"/>
  <c r="N112" i="49" s="1"/>
  <c r="T12" i="1"/>
  <c r="T11" i="1"/>
  <c r="Q13" i="49"/>
  <c r="R72" i="1"/>
  <c r="P21" i="49"/>
  <c r="P34" i="49" s="1"/>
  <c r="Q79" i="1"/>
  <c r="G48" i="58"/>
  <c r="G43" i="58"/>
  <c r="G29" i="58" s="1"/>
  <c r="N33" i="49"/>
  <c r="H36" i="58"/>
  <c r="G28" i="58"/>
  <c r="G42" i="58"/>
  <c r="F45" i="58"/>
  <c r="F49" i="58" s="1"/>
  <c r="F50" i="58" s="1"/>
  <c r="M22" i="49"/>
  <c r="Q8" i="54"/>
  <c r="Q22" i="54" s="1"/>
  <c r="Q20" i="49"/>
  <c r="R78" i="1"/>
  <c r="M66" i="49"/>
  <c r="M113" i="49" s="1"/>
  <c r="O60" i="49"/>
  <c r="O111" i="49" s="1"/>
  <c r="O17" i="49"/>
  <c r="P77" i="1"/>
  <c r="M57" i="49"/>
  <c r="M110" i="49" s="1"/>
  <c r="P21" i="174" s="1"/>
  <c r="N36" i="49"/>
  <c r="U64" i="1"/>
  <c r="T71" i="1"/>
  <c r="T86" i="1" s="1"/>
  <c r="T91" i="1" s="1"/>
  <c r="Q41" i="28"/>
  <c r="Q35" i="28"/>
  <c r="Q49" i="28"/>
  <c r="R9" i="28"/>
  <c r="Q29" i="28"/>
  <c r="Q20" i="28"/>
  <c r="T123" i="1"/>
  <c r="S125" i="1"/>
  <c r="R127" i="1"/>
  <c r="R128" i="1" s="1"/>
  <c r="R21" i="58" s="1"/>
  <c r="S126" i="1"/>
  <c r="R45" i="1"/>
  <c r="O76" i="1"/>
  <c r="O19" i="49" s="1"/>
  <c r="O35" i="49" s="1"/>
  <c r="N80" i="1"/>
  <c r="Q75" i="1"/>
  <c r="Q18" i="49" s="1"/>
  <c r="T15" i="28" l="1"/>
  <c r="T15" i="58"/>
  <c r="T13" i="58"/>
  <c r="T13" i="28"/>
  <c r="U12" i="28"/>
  <c r="U12" i="58"/>
  <c r="T10" i="28"/>
  <c r="T10" i="58"/>
  <c r="E39" i="54"/>
  <c r="E40" i="54" s="1"/>
  <c r="E15" i="54" s="1"/>
  <c r="G14" i="54"/>
  <c r="G33" i="54"/>
  <c r="F14" i="54"/>
  <c r="F29" i="54"/>
  <c r="G13" i="54"/>
  <c r="H21" i="54"/>
  <c r="V115" i="49"/>
  <c r="U129" i="49"/>
  <c r="V66" i="1"/>
  <c r="S23" i="17" s="1"/>
  <c r="R29" i="49"/>
  <c r="R95" i="1"/>
  <c r="R99" i="1" s="1"/>
  <c r="T108" i="1"/>
  <c r="T114" i="1" s="1"/>
  <c r="T120" i="1" s="1"/>
  <c r="U133" i="1"/>
  <c r="U22" i="58" s="1"/>
  <c r="P23" i="58"/>
  <c r="P37" i="58" s="1"/>
  <c r="S81" i="1"/>
  <c r="S23" i="49" s="1"/>
  <c r="R8" i="54"/>
  <c r="R22" i="54" s="1"/>
  <c r="Q24" i="49"/>
  <c r="R82" i="1"/>
  <c r="W19" i="1"/>
  <c r="W11" i="28" s="1"/>
  <c r="U20" i="1"/>
  <c r="W15" i="1"/>
  <c r="V17" i="1"/>
  <c r="N22" i="49"/>
  <c r="O63" i="49"/>
  <c r="O112" i="49" s="1"/>
  <c r="U12" i="1"/>
  <c r="U11" i="1"/>
  <c r="R20" i="49"/>
  <c r="S78" i="1"/>
  <c r="P17" i="49"/>
  <c r="Q77" i="1"/>
  <c r="H38" i="58"/>
  <c r="G44" i="58"/>
  <c r="H42" i="58" s="1"/>
  <c r="P60" i="49"/>
  <c r="P111" i="49" s="1"/>
  <c r="R13" i="49"/>
  <c r="S72" i="1"/>
  <c r="O36" i="49"/>
  <c r="O33" i="49"/>
  <c r="N57" i="49"/>
  <c r="N110" i="49" s="1"/>
  <c r="Q21" i="174" s="1"/>
  <c r="N66" i="49"/>
  <c r="N113" i="49" s="1"/>
  <c r="F32" i="58"/>
  <c r="F53" i="58" s="1"/>
  <c r="F54" i="58" s="1"/>
  <c r="F55" i="58" s="1"/>
  <c r="F30" i="58" s="1"/>
  <c r="Q21" i="49"/>
  <c r="Q34" i="49" s="1"/>
  <c r="R79" i="1"/>
  <c r="V64" i="1"/>
  <c r="W64" i="1" s="1"/>
  <c r="U71" i="1"/>
  <c r="U86" i="1" s="1"/>
  <c r="U91" i="1" s="1"/>
  <c r="R41" i="28"/>
  <c r="S9" i="28"/>
  <c r="R35" i="28"/>
  <c r="R29" i="28"/>
  <c r="R49" i="28"/>
  <c r="R20" i="28"/>
  <c r="T126" i="1"/>
  <c r="S127" i="1"/>
  <c r="S128" i="1" s="1"/>
  <c r="S21" i="58" s="1"/>
  <c r="U123" i="1"/>
  <c r="T125" i="1"/>
  <c r="S45" i="1"/>
  <c r="R75" i="1"/>
  <c r="R18" i="49" s="1"/>
  <c r="P76" i="1"/>
  <c r="P19" i="49" s="1"/>
  <c r="P35" i="49" s="1"/>
  <c r="O80" i="1"/>
  <c r="V12" i="28" l="1"/>
  <c r="V12" i="58"/>
  <c r="U10" i="28"/>
  <c r="U10" i="58"/>
  <c r="U15" i="28"/>
  <c r="U15" i="58"/>
  <c r="U13" i="58"/>
  <c r="U13" i="28"/>
  <c r="W66" i="1"/>
  <c r="T23" i="17" s="1"/>
  <c r="X64" i="1"/>
  <c r="X71" i="1" s="1"/>
  <c r="X86" i="1" s="1"/>
  <c r="X91" i="1" s="1"/>
  <c r="X95" i="1" s="1"/>
  <c r="X99" i="1" s="1"/>
  <c r="W71" i="1"/>
  <c r="W86" i="1" s="1"/>
  <c r="W91" i="1" s="1"/>
  <c r="W95" i="1" s="1"/>
  <c r="W99" i="1" s="1"/>
  <c r="H23" i="54"/>
  <c r="H24" i="54" s="1"/>
  <c r="H28" i="54" s="1"/>
  <c r="G27" i="54"/>
  <c r="F30" i="54"/>
  <c r="F34" i="54" s="1"/>
  <c r="F35" i="54" s="1"/>
  <c r="V129" i="49"/>
  <c r="S29" i="49"/>
  <c r="S95" i="1"/>
  <c r="S99" i="1" s="1"/>
  <c r="U108" i="1"/>
  <c r="U114" i="1" s="1"/>
  <c r="U120" i="1" s="1"/>
  <c r="T81" i="1"/>
  <c r="T23" i="49" s="1"/>
  <c r="V133" i="1"/>
  <c r="V22" i="58" s="1"/>
  <c r="Q23" i="58"/>
  <c r="Q37" i="58" s="1"/>
  <c r="S8" i="54"/>
  <c r="S22" i="54" s="1"/>
  <c r="R24" i="49"/>
  <c r="S82" i="1"/>
  <c r="V20" i="1"/>
  <c r="X15" i="1"/>
  <c r="X17" i="1" s="1"/>
  <c r="W17" i="1"/>
  <c r="X19" i="1"/>
  <c r="X11" i="28" s="1"/>
  <c r="P63" i="49"/>
  <c r="P112" i="49" s="1"/>
  <c r="V12" i="1"/>
  <c r="V11" i="1"/>
  <c r="G45" i="58"/>
  <c r="G49" i="58" s="1"/>
  <c r="G50" i="58" s="1"/>
  <c r="O22" i="49"/>
  <c r="O57" i="49"/>
  <c r="O110" i="49" s="1"/>
  <c r="R21" i="174" s="1"/>
  <c r="Q17" i="49"/>
  <c r="R77" i="1"/>
  <c r="P33" i="49"/>
  <c r="R21" i="49"/>
  <c r="R34" i="49" s="1"/>
  <c r="S79" i="1"/>
  <c r="Q60" i="49"/>
  <c r="Q111" i="49" s="1"/>
  <c r="I36" i="58"/>
  <c r="H28" i="58"/>
  <c r="S13" i="49"/>
  <c r="T72" i="1"/>
  <c r="S20" i="49"/>
  <c r="T78" i="1"/>
  <c r="P36" i="49"/>
  <c r="O66" i="49"/>
  <c r="O113" i="49" s="1"/>
  <c r="H39" i="58"/>
  <c r="V71" i="1"/>
  <c r="V86" i="1" s="1"/>
  <c r="V91" i="1" s="1"/>
  <c r="S35" i="28"/>
  <c r="S49" i="28"/>
  <c r="S41" i="28"/>
  <c r="S20" i="28"/>
  <c r="S29" i="28"/>
  <c r="T9" i="28"/>
  <c r="V123" i="1"/>
  <c r="U125" i="1"/>
  <c r="T127" i="1"/>
  <c r="T128" i="1" s="1"/>
  <c r="T21" i="58" s="1"/>
  <c r="U126" i="1"/>
  <c r="T45" i="1"/>
  <c r="S75" i="1"/>
  <c r="S18" i="49" s="1"/>
  <c r="Q76" i="1"/>
  <c r="Q19" i="49" s="1"/>
  <c r="Q35" i="49" s="1"/>
  <c r="P80" i="1"/>
  <c r="V15" i="28" l="1"/>
  <c r="V15" i="58"/>
  <c r="V13" i="28"/>
  <c r="V13" i="58"/>
  <c r="W12" i="58"/>
  <c r="W12" i="28"/>
  <c r="X12" i="58"/>
  <c r="X12" i="28"/>
  <c r="V10" i="28"/>
  <c r="V10" i="58"/>
  <c r="W8" i="54"/>
  <c r="W22" i="54" s="1"/>
  <c r="X66" i="1"/>
  <c r="F17" i="54"/>
  <c r="F38" i="54" s="1"/>
  <c r="F39" i="54" s="1"/>
  <c r="F40" i="54" s="1"/>
  <c r="F15" i="54" s="1"/>
  <c r="G29" i="54"/>
  <c r="H27" i="54" s="1"/>
  <c r="G30" i="54"/>
  <c r="G34" i="54" s="1"/>
  <c r="G35" i="54" s="1"/>
  <c r="H14" i="54"/>
  <c r="H33" i="54"/>
  <c r="I21" i="54"/>
  <c r="H13" i="54"/>
  <c r="U81" i="1"/>
  <c r="U23" i="49" s="1"/>
  <c r="T29" i="49"/>
  <c r="T95" i="1"/>
  <c r="T99" i="1" s="1"/>
  <c r="V108" i="1"/>
  <c r="V114" i="1" s="1"/>
  <c r="V120" i="1" s="1"/>
  <c r="T8" i="54"/>
  <c r="T22" i="54" s="1"/>
  <c r="R23" i="58"/>
  <c r="R37" i="58" s="1"/>
  <c r="W133" i="1"/>
  <c r="W22" i="58" s="1"/>
  <c r="S24" i="49"/>
  <c r="T82" i="1"/>
  <c r="W20" i="1"/>
  <c r="P57" i="49"/>
  <c r="P110" i="49" s="1"/>
  <c r="S21" i="174" s="1"/>
  <c r="Q63" i="49"/>
  <c r="Q112" i="49" s="1"/>
  <c r="W12" i="1"/>
  <c r="W11" i="1"/>
  <c r="G32" i="58"/>
  <c r="G53" i="58" s="1"/>
  <c r="G54" i="58" s="1"/>
  <c r="G55" i="58" s="1"/>
  <c r="G30" i="58" s="1"/>
  <c r="P22" i="49"/>
  <c r="R60" i="49"/>
  <c r="R111" i="49" s="1"/>
  <c r="T13" i="49"/>
  <c r="U72" i="1"/>
  <c r="Q33" i="49"/>
  <c r="T20" i="49"/>
  <c r="U78" i="1"/>
  <c r="I38" i="58"/>
  <c r="H48" i="58"/>
  <c r="H43" i="58"/>
  <c r="Q36" i="49"/>
  <c r="P66" i="49"/>
  <c r="P113" i="49" s="1"/>
  <c r="S21" i="49"/>
  <c r="S34" i="49" s="1"/>
  <c r="T79" i="1"/>
  <c r="R17" i="49"/>
  <c r="S77" i="1"/>
  <c r="U9" i="28"/>
  <c r="T35" i="28"/>
  <c r="T49" i="28"/>
  <c r="T20" i="28"/>
  <c r="T41" i="28"/>
  <c r="T29" i="28"/>
  <c r="U127" i="1"/>
  <c r="U128" i="1" s="1"/>
  <c r="U21" i="58" s="1"/>
  <c r="V126" i="1"/>
  <c r="W123" i="1"/>
  <c r="V125" i="1"/>
  <c r="U45" i="1"/>
  <c r="T75" i="1"/>
  <c r="T18" i="49" s="1"/>
  <c r="R76" i="1"/>
  <c r="R19" i="49" s="1"/>
  <c r="R35" i="49" s="1"/>
  <c r="Q80" i="1"/>
  <c r="W10" i="28" l="1"/>
  <c r="W10" i="58"/>
  <c r="W15" i="58"/>
  <c r="W15" i="28"/>
  <c r="W13" i="58"/>
  <c r="W13" i="28"/>
  <c r="U23" i="17"/>
  <c r="X8" i="54" s="1"/>
  <c r="X22" i="54" s="1"/>
  <c r="G17" i="54"/>
  <c r="G38" i="54" s="1"/>
  <c r="G39" i="54" s="1"/>
  <c r="G40" i="54" s="1"/>
  <c r="G15" i="54" s="1"/>
  <c r="H29" i="54"/>
  <c r="I27" i="54" s="1"/>
  <c r="I23" i="54"/>
  <c r="I24" i="54" s="1"/>
  <c r="I28" i="54" s="1"/>
  <c r="V81" i="1"/>
  <c r="U29" i="49"/>
  <c r="V95" i="1"/>
  <c r="V99" i="1" s="1"/>
  <c r="X108" i="1"/>
  <c r="X114" i="1" s="1"/>
  <c r="X120" i="1" s="1"/>
  <c r="U95" i="1"/>
  <c r="U99" i="1" s="1"/>
  <c r="W108" i="1"/>
  <c r="W114" i="1" s="1"/>
  <c r="W120" i="1" s="1"/>
  <c r="U8" i="54"/>
  <c r="U22" i="54" s="1"/>
  <c r="X133" i="1"/>
  <c r="X22" i="58" s="1"/>
  <c r="S23" i="58"/>
  <c r="S37" i="58" s="1"/>
  <c r="T24" i="49"/>
  <c r="U82" i="1"/>
  <c r="X20" i="1"/>
  <c r="R63" i="49"/>
  <c r="R112" i="49" s="1"/>
  <c r="X12" i="1"/>
  <c r="X11" i="1"/>
  <c r="S60" i="49"/>
  <c r="S111" i="49" s="1"/>
  <c r="Q22" i="49"/>
  <c r="J36" i="58"/>
  <c r="I28" i="58"/>
  <c r="U20" i="49"/>
  <c r="V78" i="1"/>
  <c r="R36" i="49"/>
  <c r="R33" i="49"/>
  <c r="Q66" i="49"/>
  <c r="Q113" i="49" s="1"/>
  <c r="H29" i="58"/>
  <c r="H44" i="58"/>
  <c r="Q57" i="49"/>
  <c r="Q110" i="49" s="1"/>
  <c r="T21" i="174" s="1"/>
  <c r="S17" i="49"/>
  <c r="T77" i="1"/>
  <c r="T21" i="49"/>
  <c r="T34" i="49" s="1"/>
  <c r="U79" i="1"/>
  <c r="I39" i="58"/>
  <c r="U13" i="49"/>
  <c r="V72" i="1"/>
  <c r="U20" i="28"/>
  <c r="U29" i="28"/>
  <c r="V9" i="28"/>
  <c r="W9" i="28" s="1"/>
  <c r="U35" i="28"/>
  <c r="U49" i="28"/>
  <c r="U41" i="28"/>
  <c r="V127" i="1"/>
  <c r="V128" i="1" s="1"/>
  <c r="V21" i="58" s="1"/>
  <c r="W126" i="1"/>
  <c r="W125" i="1"/>
  <c r="X123" i="1"/>
  <c r="X125" i="1" s="1"/>
  <c r="V45" i="1"/>
  <c r="W45" i="1" s="1"/>
  <c r="X45" i="1" s="1"/>
  <c r="S76" i="1"/>
  <c r="S19" i="49" s="1"/>
  <c r="S35" i="49" s="1"/>
  <c r="R80" i="1"/>
  <c r="U75" i="1"/>
  <c r="U18" i="49" s="1"/>
  <c r="H30" i="54" l="1"/>
  <c r="H34" i="54" s="1"/>
  <c r="H35" i="54" s="1"/>
  <c r="H17" i="54" s="1"/>
  <c r="H38" i="54" s="1"/>
  <c r="H39" i="54" s="1"/>
  <c r="H40" i="54" s="1"/>
  <c r="H15" i="54" s="1"/>
  <c r="X10" i="58"/>
  <c r="X10" i="28"/>
  <c r="X15" i="28"/>
  <c r="X15" i="58"/>
  <c r="X13" i="58"/>
  <c r="X13" i="28"/>
  <c r="V20" i="49"/>
  <c r="W78" i="1"/>
  <c r="V23" i="49"/>
  <c r="W81" i="1"/>
  <c r="V13" i="49"/>
  <c r="W72" i="1"/>
  <c r="J21" i="54"/>
  <c r="I13" i="54"/>
  <c r="I33" i="54"/>
  <c r="I14" i="54"/>
  <c r="X9" i="28"/>
  <c r="W49" i="28"/>
  <c r="W35" i="28"/>
  <c r="W41" i="28"/>
  <c r="W20" i="28"/>
  <c r="W29" i="28"/>
  <c r="V29" i="49"/>
  <c r="V8" i="54"/>
  <c r="V22" i="54" s="1"/>
  <c r="T23" i="58"/>
  <c r="T37" i="58" s="1"/>
  <c r="U24" i="49"/>
  <c r="V82" i="1"/>
  <c r="S63" i="49"/>
  <c r="S112" i="49" s="1"/>
  <c r="R22" i="49"/>
  <c r="J38" i="58"/>
  <c r="J39" i="58" s="1"/>
  <c r="U21" i="49"/>
  <c r="U34" i="49" s="1"/>
  <c r="V79" i="1"/>
  <c r="R57" i="49"/>
  <c r="R110" i="49" s="1"/>
  <c r="U21" i="174" s="1"/>
  <c r="T17" i="49"/>
  <c r="U77" i="1"/>
  <c r="S36" i="49"/>
  <c r="I43" i="58"/>
  <c r="I29" i="58" s="1"/>
  <c r="I48" i="58"/>
  <c r="S33" i="49"/>
  <c r="T60" i="49"/>
  <c r="T111" i="49" s="1"/>
  <c r="I42" i="58"/>
  <c r="H45" i="58"/>
  <c r="H49" i="58" s="1"/>
  <c r="H50" i="58" s="1"/>
  <c r="R66" i="49"/>
  <c r="R113" i="49" s="1"/>
  <c r="V20" i="28"/>
  <c r="V29" i="28"/>
  <c r="V35" i="28"/>
  <c r="V49" i="28"/>
  <c r="V41" i="28"/>
  <c r="X126" i="1"/>
  <c r="X127" i="1" s="1"/>
  <c r="W127" i="1"/>
  <c r="W128" i="1" s="1"/>
  <c r="W21" i="58" s="1"/>
  <c r="W23" i="58" s="1"/>
  <c r="W37" i="58" s="1"/>
  <c r="V75" i="1"/>
  <c r="T76" i="1"/>
  <c r="T19" i="49" s="1"/>
  <c r="T35" i="49" s="1"/>
  <c r="S80" i="1"/>
  <c r="V21" i="49" l="1"/>
  <c r="V34" i="49" s="1"/>
  <c r="V60" i="49" s="1"/>
  <c r="V111" i="49" s="1"/>
  <c r="W79" i="1"/>
  <c r="X81" i="1"/>
  <c r="X23" i="49" s="1"/>
  <c r="W23" i="49"/>
  <c r="W20" i="49"/>
  <c r="W36" i="49" s="1"/>
  <c r="W66" i="49" s="1"/>
  <c r="W113" i="49" s="1"/>
  <c r="X78" i="1"/>
  <c r="X20" i="49" s="1"/>
  <c r="X36" i="49" s="1"/>
  <c r="X66" i="49" s="1"/>
  <c r="X113" i="49" s="1"/>
  <c r="W13" i="49"/>
  <c r="X72" i="1"/>
  <c r="X13" i="49" s="1"/>
  <c r="V24" i="49"/>
  <c r="W82" i="1"/>
  <c r="V18" i="49"/>
  <c r="W75" i="1"/>
  <c r="J23" i="54"/>
  <c r="I29" i="54"/>
  <c r="X49" i="28"/>
  <c r="X41" i="28"/>
  <c r="X20" i="28"/>
  <c r="X29" i="28"/>
  <c r="X35" i="28"/>
  <c r="U23" i="58"/>
  <c r="U37" i="58" s="1"/>
  <c r="S22" i="49"/>
  <c r="T63" i="49"/>
  <c r="T112" i="49" s="1"/>
  <c r="T33" i="49"/>
  <c r="S57" i="49"/>
  <c r="S110" i="49" s="1"/>
  <c r="V21" i="174" s="1"/>
  <c r="H32" i="58"/>
  <c r="H53" i="58" s="1"/>
  <c r="H54" i="58" s="1"/>
  <c r="H55" i="58" s="1"/>
  <c r="H30" i="58" s="1"/>
  <c r="U60" i="49"/>
  <c r="U111" i="49" s="1"/>
  <c r="T36" i="49"/>
  <c r="J48" i="58"/>
  <c r="J43" i="58"/>
  <c r="J29" i="58" s="1"/>
  <c r="U17" i="49"/>
  <c r="V77" i="1"/>
  <c r="I44" i="58"/>
  <c r="J42" i="58" s="1"/>
  <c r="S66" i="49"/>
  <c r="S113" i="49" s="1"/>
  <c r="J28" i="58"/>
  <c r="K36" i="58"/>
  <c r="X128" i="1"/>
  <c r="X21" i="58" s="1"/>
  <c r="X23" i="58" s="1"/>
  <c r="X37" i="58" s="1"/>
  <c r="U76" i="1"/>
  <c r="U19" i="49" s="1"/>
  <c r="U35" i="49" s="1"/>
  <c r="T80" i="1"/>
  <c r="V17" i="49" l="1"/>
  <c r="W77" i="1"/>
  <c r="W21" i="49"/>
  <c r="W34" i="49" s="1"/>
  <c r="W60" i="49" s="1"/>
  <c r="W111" i="49" s="1"/>
  <c r="X79" i="1"/>
  <c r="X21" i="49" s="1"/>
  <c r="X34" i="49" s="1"/>
  <c r="X60" i="49" s="1"/>
  <c r="X111" i="49" s="1"/>
  <c r="W24" i="49"/>
  <c r="X82" i="1"/>
  <c r="X24" i="49" s="1"/>
  <c r="W18" i="49"/>
  <c r="X75" i="1"/>
  <c r="J27" i="54"/>
  <c r="I30" i="54"/>
  <c r="I34" i="54" s="1"/>
  <c r="I35" i="54" s="1"/>
  <c r="K21" i="54"/>
  <c r="J13" i="54"/>
  <c r="J24" i="54"/>
  <c r="J28" i="54" s="1"/>
  <c r="V23" i="58"/>
  <c r="V37" i="58" s="1"/>
  <c r="U63" i="49"/>
  <c r="U112" i="49" s="1"/>
  <c r="K38" i="58"/>
  <c r="K39" i="58" s="1"/>
  <c r="V33" i="49"/>
  <c r="J44" i="58"/>
  <c r="K42" i="58" s="1"/>
  <c r="U36" i="49"/>
  <c r="V36" i="49"/>
  <c r="T57" i="49"/>
  <c r="T110" i="49" s="1"/>
  <c r="W21" i="174" s="1"/>
  <c r="U33" i="49"/>
  <c r="I45" i="58"/>
  <c r="I49" i="58" s="1"/>
  <c r="I50" i="58" s="1"/>
  <c r="T66" i="49"/>
  <c r="T113" i="49" s="1"/>
  <c r="T22" i="49"/>
  <c r="V76" i="1"/>
  <c r="U80" i="1"/>
  <c r="X18" i="49" l="1"/>
  <c r="W17" i="49"/>
  <c r="X77" i="1"/>
  <c r="X17" i="49" s="1"/>
  <c r="V19" i="49"/>
  <c r="V35" i="49" s="1"/>
  <c r="V63" i="49" s="1"/>
  <c r="V112" i="49" s="1"/>
  <c r="W76" i="1"/>
  <c r="J33" i="54"/>
  <c r="J14" i="54"/>
  <c r="I17" i="54"/>
  <c r="I38" i="54" s="1"/>
  <c r="I39" i="54" s="1"/>
  <c r="I40" i="54" s="1"/>
  <c r="I15" i="54" s="1"/>
  <c r="K23" i="54"/>
  <c r="J29" i="54"/>
  <c r="K27" i="54" s="1"/>
  <c r="V57" i="49"/>
  <c r="V110" i="49" s="1"/>
  <c r="Y21" i="174" s="1"/>
  <c r="J45" i="58"/>
  <c r="J49" i="58" s="1"/>
  <c r="J50" i="58" s="1"/>
  <c r="V66" i="49"/>
  <c r="V113" i="49" s="1"/>
  <c r="U66" i="49"/>
  <c r="U113" i="49" s="1"/>
  <c r="U57" i="49"/>
  <c r="U110" i="49" s="1"/>
  <c r="X21" i="174" s="1"/>
  <c r="K43" i="58"/>
  <c r="K29" i="58" s="1"/>
  <c r="K48" i="58"/>
  <c r="I32" i="58"/>
  <c r="I53" i="58" s="1"/>
  <c r="I54" i="58" s="1"/>
  <c r="I55" i="58" s="1"/>
  <c r="I30" i="58" s="1"/>
  <c r="U22" i="49"/>
  <c r="L36" i="58"/>
  <c r="K28" i="58"/>
  <c r="V80" i="1"/>
  <c r="V22" i="49" l="1"/>
  <c r="J30" i="54"/>
  <c r="J34" i="54" s="1"/>
  <c r="J35" i="54" s="1"/>
  <c r="X33" i="49"/>
  <c r="X57" i="49" s="1"/>
  <c r="X110" i="49" s="1"/>
  <c r="AA21" i="174" s="1"/>
  <c r="W19" i="49"/>
  <c r="W35" i="49" s="1"/>
  <c r="W63" i="49" s="1"/>
  <c r="W112" i="49" s="1"/>
  <c r="X76" i="1"/>
  <c r="W80" i="1"/>
  <c r="W33" i="49"/>
  <c r="W57" i="49" s="1"/>
  <c r="W110" i="49" s="1"/>
  <c r="Z21" i="174" s="1"/>
  <c r="W22" i="49"/>
  <c r="K13" i="54"/>
  <c r="L21" i="54"/>
  <c r="K24" i="54"/>
  <c r="K28" i="54" s="1"/>
  <c r="J32" i="58"/>
  <c r="J53" i="58" s="1"/>
  <c r="J54" i="58" s="1"/>
  <c r="J55" i="58" s="1"/>
  <c r="J30" i="58" s="1"/>
  <c r="K44" i="58"/>
  <c r="L42" i="58" s="1"/>
  <c r="L38" i="58"/>
  <c r="L39" i="58" s="1"/>
  <c r="X19" i="49" l="1"/>
  <c r="X80" i="1"/>
  <c r="K33" i="54"/>
  <c r="J17" i="54"/>
  <c r="J38" i="54" s="1"/>
  <c r="J39" i="54" s="1"/>
  <c r="J40" i="54" s="1"/>
  <c r="J15" i="54" s="1"/>
  <c r="L23" i="54"/>
  <c r="L24" i="54" s="1"/>
  <c r="L28" i="54" s="1"/>
  <c r="K45" i="58"/>
  <c r="K49" i="58" s="1"/>
  <c r="K50" i="58" s="1"/>
  <c r="L43" i="58"/>
  <c r="L48" i="58"/>
  <c r="L28" i="58"/>
  <c r="M36" i="58"/>
  <c r="X35" i="49" l="1"/>
  <c r="X63" i="49" s="1"/>
  <c r="X112" i="49" s="1"/>
  <c r="X22" i="49"/>
  <c r="L33" i="54"/>
  <c r="L14" i="54"/>
  <c r="L13" i="54"/>
  <c r="M21" i="54"/>
  <c r="K14" i="54"/>
  <c r="K29" i="54"/>
  <c r="K32" i="58"/>
  <c r="K53" i="58" s="1"/>
  <c r="K54" i="58" s="1"/>
  <c r="K55" i="58" s="1"/>
  <c r="K30" i="58" s="1"/>
  <c r="M38" i="58"/>
  <c r="M39" i="58" s="1"/>
  <c r="L29" i="58"/>
  <c r="L44" i="58"/>
  <c r="L27" i="54" l="1"/>
  <c r="K30" i="54"/>
  <c r="K34" i="54" s="1"/>
  <c r="K35" i="54" s="1"/>
  <c r="M23" i="54"/>
  <c r="M24" i="54" s="1"/>
  <c r="M28" i="54" s="1"/>
  <c r="M42" i="58"/>
  <c r="L45" i="58"/>
  <c r="L49" i="58" s="1"/>
  <c r="L50" i="58" s="1"/>
  <c r="M48" i="58"/>
  <c r="M43" i="58"/>
  <c r="M29" i="58" s="1"/>
  <c r="M28" i="58"/>
  <c r="N36" i="58"/>
  <c r="F46" i="28"/>
  <c r="G46" i="28" s="1"/>
  <c r="H46" i="28" s="1"/>
  <c r="I46" i="28" s="1"/>
  <c r="J46" i="28" s="1"/>
  <c r="K46" i="28" s="1"/>
  <c r="L46" i="28" s="1"/>
  <c r="M46" i="28" s="1"/>
  <c r="N46" i="28" s="1"/>
  <c r="O46" i="28" s="1"/>
  <c r="P46" i="28" s="1"/>
  <c r="Q46" i="28" s="1"/>
  <c r="R46" i="28" s="1"/>
  <c r="S46" i="28" s="1"/>
  <c r="T46" i="28" s="1"/>
  <c r="U46" i="28" s="1"/>
  <c r="V46" i="28" s="1"/>
  <c r="W46" i="28" s="1"/>
  <c r="X46" i="28" s="1"/>
  <c r="M14" i="54" l="1"/>
  <c r="M33" i="54"/>
  <c r="N21" i="54"/>
  <c r="M13" i="54"/>
  <c r="K17" i="54"/>
  <c r="K38" i="54" s="1"/>
  <c r="K39" i="54" s="1"/>
  <c r="K40" i="54" s="1"/>
  <c r="K15" i="54" s="1"/>
  <c r="L29" i="54"/>
  <c r="M27" i="54" s="1"/>
  <c r="N38" i="58"/>
  <c r="L32" i="58"/>
  <c r="L53" i="58" s="1"/>
  <c r="L54" i="58" s="1"/>
  <c r="L55" i="58" s="1"/>
  <c r="L30" i="58" s="1"/>
  <c r="M44" i="58"/>
  <c r="N42" i="58" s="1"/>
  <c r="L30" i="54" l="1"/>
  <c r="L34" i="54" s="1"/>
  <c r="L35" i="54" s="1"/>
  <c r="M29" i="54"/>
  <c r="N27" i="54" s="1"/>
  <c r="M30" i="54"/>
  <c r="M34" i="54" s="1"/>
  <c r="M35" i="54" s="1"/>
  <c r="N23" i="54"/>
  <c r="M45" i="58"/>
  <c r="M49" i="58" s="1"/>
  <c r="M50" i="58" s="1"/>
  <c r="O36" i="58"/>
  <c r="N28" i="58"/>
  <c r="N39" i="58"/>
  <c r="L17" i="54" l="1"/>
  <c r="L38" i="54" s="1"/>
  <c r="L39" i="54" s="1"/>
  <c r="L40" i="54" s="1"/>
  <c r="L15" i="54" s="1"/>
  <c r="N13" i="54"/>
  <c r="O21" i="54"/>
  <c r="N24" i="54"/>
  <c r="N28" i="54" s="1"/>
  <c r="M17" i="54"/>
  <c r="M38" i="54" s="1"/>
  <c r="M39" i="54" s="1"/>
  <c r="M40" i="54" s="1"/>
  <c r="M15" i="54" s="1"/>
  <c r="M32" i="58"/>
  <c r="M53" i="58" s="1"/>
  <c r="M54" i="58" s="1"/>
  <c r="M55" i="58" s="1"/>
  <c r="M30" i="58" s="1"/>
  <c r="N43" i="58"/>
  <c r="N48" i="58"/>
  <c r="O38" i="58"/>
  <c r="O39" i="58" s="1"/>
  <c r="F13" i="1"/>
  <c r="E32" i="28"/>
  <c r="F30" i="28" s="1"/>
  <c r="G13" i="1" l="1"/>
  <c r="F14" i="28"/>
  <c r="F14" i="58"/>
  <c r="F16" i="54"/>
  <c r="F18" i="54" s="1"/>
  <c r="N33" i="54"/>
  <c r="O23" i="54"/>
  <c r="O24" i="54" s="1"/>
  <c r="O28" i="54" s="1"/>
  <c r="E33" i="28"/>
  <c r="E31" i="58"/>
  <c r="E33" i="58" s="1"/>
  <c r="E18" i="54"/>
  <c r="O48" i="58"/>
  <c r="O43" i="58"/>
  <c r="O29" i="58" s="1"/>
  <c r="O28" i="58"/>
  <c r="P36" i="58"/>
  <c r="N29" i="58"/>
  <c r="N44" i="58"/>
  <c r="F14" i="1"/>
  <c r="F32" i="28"/>
  <c r="G30" i="28" s="1"/>
  <c r="G14" i="28" l="1"/>
  <c r="G14" i="58"/>
  <c r="G16" i="54"/>
  <c r="G18" i="54" s="1"/>
  <c r="F16" i="58"/>
  <c r="F16" i="28"/>
  <c r="H13" i="1"/>
  <c r="O14" i="54"/>
  <c r="O33" i="54"/>
  <c r="P21" i="54"/>
  <c r="O13" i="54"/>
  <c r="N14" i="54"/>
  <c r="N29" i="54"/>
  <c r="E42" i="28"/>
  <c r="G14" i="1"/>
  <c r="I13" i="1"/>
  <c r="F31" i="58"/>
  <c r="F33" i="58" s="1"/>
  <c r="P38" i="58"/>
  <c r="P39" i="58" s="1"/>
  <c r="O42" i="58"/>
  <c r="N45" i="58"/>
  <c r="N49" i="58" s="1"/>
  <c r="N50" i="58" s="1"/>
  <c r="F33" i="28"/>
  <c r="F42" i="28" s="1"/>
  <c r="G32" i="28"/>
  <c r="H30" i="28" s="1"/>
  <c r="H14" i="28" l="1"/>
  <c r="H14" i="58"/>
  <c r="H16" i="54"/>
  <c r="H18" i="54" s="1"/>
  <c r="I14" i="58"/>
  <c r="I14" i="28"/>
  <c r="I16" i="54"/>
  <c r="I18" i="54" s="1"/>
  <c r="G16" i="58"/>
  <c r="G16" i="28"/>
  <c r="O27" i="54"/>
  <c r="N30" i="54"/>
  <c r="N34" i="54" s="1"/>
  <c r="N35" i="54" s="1"/>
  <c r="P23" i="54"/>
  <c r="P24" i="54" s="1"/>
  <c r="P28" i="54" s="1"/>
  <c r="G33" i="28"/>
  <c r="J13" i="1"/>
  <c r="G31" i="58"/>
  <c r="G33" i="58" s="1"/>
  <c r="H14" i="1"/>
  <c r="P48" i="58"/>
  <c r="P43" i="58"/>
  <c r="P29" i="58" s="1"/>
  <c r="O44" i="58"/>
  <c r="P42" i="58" s="1"/>
  <c r="N32" i="58"/>
  <c r="N53" i="58" s="1"/>
  <c r="N54" i="58" s="1"/>
  <c r="N55" i="58" s="1"/>
  <c r="N30" i="58" s="1"/>
  <c r="Q36" i="58"/>
  <c r="P28" i="58"/>
  <c r="H32" i="28"/>
  <c r="I30" i="28" s="1"/>
  <c r="H16" i="28" l="1"/>
  <c r="H16" i="58"/>
  <c r="J14" i="58"/>
  <c r="J14" i="28"/>
  <c r="J16" i="54"/>
  <c r="J18" i="54" s="1"/>
  <c r="P14" i="54"/>
  <c r="P33" i="54"/>
  <c r="P13" i="54"/>
  <c r="Q21" i="54"/>
  <c r="N17" i="54"/>
  <c r="N38" i="54" s="1"/>
  <c r="N39" i="54" s="1"/>
  <c r="N40" i="54" s="1"/>
  <c r="N15" i="54" s="1"/>
  <c r="O29" i="54"/>
  <c r="P27" i="54" s="1"/>
  <c r="G42" i="28"/>
  <c r="O45" i="58"/>
  <c r="O49" i="58" s="1"/>
  <c r="O50" i="58" s="1"/>
  <c r="O32" i="58" s="1"/>
  <c r="O53" i="58" s="1"/>
  <c r="O54" i="58" s="1"/>
  <c r="O55" i="58" s="1"/>
  <c r="O30" i="58" s="1"/>
  <c r="I14" i="1"/>
  <c r="K13" i="1"/>
  <c r="H31" i="58"/>
  <c r="H33" i="58" s="1"/>
  <c r="Q38" i="58"/>
  <c r="Q39" i="58" s="1"/>
  <c r="P44" i="58"/>
  <c r="Q42" i="58" s="1"/>
  <c r="H33" i="28"/>
  <c r="H42" i="28" s="1"/>
  <c r="I32" i="28"/>
  <c r="J30" i="28" s="1"/>
  <c r="O30" i="54" l="1"/>
  <c r="O34" i="54" s="1"/>
  <c r="O35" i="54" s="1"/>
  <c r="O17" i="54" s="1"/>
  <c r="O38" i="54" s="1"/>
  <c r="O39" i="54" s="1"/>
  <c r="O40" i="54" s="1"/>
  <c r="O15" i="54" s="1"/>
  <c r="I16" i="28"/>
  <c r="I16" i="58"/>
  <c r="K14" i="28"/>
  <c r="K14" i="58"/>
  <c r="K16" i="54"/>
  <c r="K18" i="54" s="1"/>
  <c r="Q23" i="54"/>
  <c r="Q24" i="54" s="1"/>
  <c r="Q28" i="54" s="1"/>
  <c r="P29" i="54"/>
  <c r="Q27" i="54" s="1"/>
  <c r="L13" i="1"/>
  <c r="I31" i="58"/>
  <c r="I33" i="58" s="1"/>
  <c r="J14" i="1"/>
  <c r="P45" i="58"/>
  <c r="P49" i="58" s="1"/>
  <c r="P50" i="58" s="1"/>
  <c r="P32" i="58" s="1"/>
  <c r="P53" i="58" s="1"/>
  <c r="P54" i="58" s="1"/>
  <c r="P55" i="58" s="1"/>
  <c r="P30" i="58" s="1"/>
  <c r="Q43" i="58"/>
  <c r="Q29" i="58" s="1"/>
  <c r="Q48" i="58"/>
  <c r="R36" i="58"/>
  <c r="Q28" i="58"/>
  <c r="I33" i="28"/>
  <c r="J32" i="28"/>
  <c r="K30" i="28" s="1"/>
  <c r="J16" i="28" l="1"/>
  <c r="J16" i="58"/>
  <c r="L14" i="58"/>
  <c r="L14" i="28"/>
  <c r="L16" i="54"/>
  <c r="L18" i="54" s="1"/>
  <c r="R21" i="54"/>
  <c r="R23" i="54" s="1"/>
  <c r="Q13" i="54"/>
  <c r="P30" i="54"/>
  <c r="P34" i="54" s="1"/>
  <c r="P35" i="54" s="1"/>
  <c r="Q14" i="54"/>
  <c r="Q33" i="54"/>
  <c r="K14" i="1"/>
  <c r="M13" i="1"/>
  <c r="J31" i="58"/>
  <c r="J33" i="58" s="1"/>
  <c r="R38" i="58"/>
  <c r="R39" i="58" s="1"/>
  <c r="Q44" i="58"/>
  <c r="K32" i="28"/>
  <c r="L30" i="28" s="1"/>
  <c r="I42" i="28"/>
  <c r="J33" i="28"/>
  <c r="M14" i="58" l="1"/>
  <c r="M14" i="28"/>
  <c r="M16" i="54"/>
  <c r="M18" i="54" s="1"/>
  <c r="K16" i="28"/>
  <c r="K16" i="58"/>
  <c r="P17" i="54"/>
  <c r="P38" i="54" s="1"/>
  <c r="P39" i="54" s="1"/>
  <c r="P40" i="54" s="1"/>
  <c r="P15" i="54" s="1"/>
  <c r="R24" i="54"/>
  <c r="R28" i="54" s="1"/>
  <c r="R13" i="54"/>
  <c r="S21" i="54"/>
  <c r="Q29" i="54"/>
  <c r="N13" i="1"/>
  <c r="K31" i="58"/>
  <c r="K33" i="58" s="1"/>
  <c r="L14" i="1"/>
  <c r="R42" i="58"/>
  <c r="Q45" i="58"/>
  <c r="Q49" i="58" s="1"/>
  <c r="Q50" i="58" s="1"/>
  <c r="R48" i="58"/>
  <c r="R43" i="58"/>
  <c r="R29" i="58" s="1"/>
  <c r="S36" i="58"/>
  <c r="R28" i="58"/>
  <c r="K33" i="28"/>
  <c r="J42" i="28"/>
  <c r="L32" i="28"/>
  <c r="M30" i="28" s="1"/>
  <c r="L16" i="58" l="1"/>
  <c r="L16" i="28"/>
  <c r="N14" i="28"/>
  <c r="N14" i="58"/>
  <c r="N16" i="54"/>
  <c r="N18" i="54" s="1"/>
  <c r="R27" i="54"/>
  <c r="Q30" i="54"/>
  <c r="Q34" i="54" s="1"/>
  <c r="Q35" i="54" s="1"/>
  <c r="S23" i="54"/>
  <c r="S24" i="54" s="1"/>
  <c r="S28" i="54" s="1"/>
  <c r="R33" i="54"/>
  <c r="R14" i="54"/>
  <c r="O13" i="1"/>
  <c r="L31" i="58"/>
  <c r="L33" i="58" s="1"/>
  <c r="M14" i="1"/>
  <c r="S38" i="58"/>
  <c r="S39" i="58" s="1"/>
  <c r="Q32" i="58"/>
  <c r="Q53" i="58" s="1"/>
  <c r="Q54" i="58" s="1"/>
  <c r="Q55" i="58" s="1"/>
  <c r="Q30" i="58" s="1"/>
  <c r="R44" i="58"/>
  <c r="S42" i="58" s="1"/>
  <c r="K42" i="28"/>
  <c r="L33" i="28"/>
  <c r="M32" i="28"/>
  <c r="N30" i="28" s="1"/>
  <c r="O14" i="28" l="1"/>
  <c r="O14" i="58"/>
  <c r="O16" i="54"/>
  <c r="O18" i="54" s="1"/>
  <c r="M16" i="58"/>
  <c r="M16" i="28"/>
  <c r="S14" i="54"/>
  <c r="S33" i="54"/>
  <c r="T21" i="54"/>
  <c r="S13" i="54"/>
  <c r="Q17" i="54"/>
  <c r="Q38" i="54" s="1"/>
  <c r="Q39" i="54" s="1"/>
  <c r="Q40" i="54" s="1"/>
  <c r="Q15" i="54" s="1"/>
  <c r="R29" i="54"/>
  <c r="S27" i="54" s="1"/>
  <c r="R45" i="58"/>
  <c r="R49" i="58" s="1"/>
  <c r="R50" i="58" s="1"/>
  <c r="R32" i="58" s="1"/>
  <c r="R53" i="58" s="1"/>
  <c r="R54" i="58" s="1"/>
  <c r="R55" i="58" s="1"/>
  <c r="R30" i="58" s="1"/>
  <c r="N14" i="1"/>
  <c r="P13" i="1"/>
  <c r="M31" i="58"/>
  <c r="M33" i="58" s="1"/>
  <c r="S43" i="58"/>
  <c r="S29" i="58" s="1"/>
  <c r="S48" i="58"/>
  <c r="T36" i="58"/>
  <c r="S28" i="58"/>
  <c r="M33" i="28"/>
  <c r="L42" i="28"/>
  <c r="N32" i="28"/>
  <c r="O30" i="28" s="1"/>
  <c r="N16" i="58" l="1"/>
  <c r="N16" i="28"/>
  <c r="P14" i="28"/>
  <c r="P14" i="58"/>
  <c r="P16" i="54"/>
  <c r="P18" i="54" s="1"/>
  <c r="R30" i="54"/>
  <c r="R34" i="54" s="1"/>
  <c r="R35" i="54" s="1"/>
  <c r="R17" i="54" s="1"/>
  <c r="R38" i="54" s="1"/>
  <c r="R39" i="54" s="1"/>
  <c r="R40" i="54" s="1"/>
  <c r="R15" i="54" s="1"/>
  <c r="S29" i="54"/>
  <c r="T27" i="54" s="1"/>
  <c r="T23" i="54"/>
  <c r="T24" i="54" s="1"/>
  <c r="T28" i="54" s="1"/>
  <c r="Q13" i="1"/>
  <c r="N31" i="58"/>
  <c r="N33" i="58" s="1"/>
  <c r="O14" i="1"/>
  <c r="S44" i="58"/>
  <c r="T38" i="58"/>
  <c r="T39" i="58" s="1"/>
  <c r="M42" i="28"/>
  <c r="N33" i="28"/>
  <c r="O32" i="28"/>
  <c r="P30" i="28" s="1"/>
  <c r="Q14" i="58" l="1"/>
  <c r="Q14" i="28"/>
  <c r="Q16" i="54"/>
  <c r="Q18" i="54" s="1"/>
  <c r="O16" i="58"/>
  <c r="O16" i="28"/>
  <c r="T33" i="54"/>
  <c r="T14" i="54"/>
  <c r="U21" i="54"/>
  <c r="U23" i="54" s="1"/>
  <c r="T13" i="54"/>
  <c r="S30" i="54"/>
  <c r="S34" i="54" s="1"/>
  <c r="S35" i="54" s="1"/>
  <c r="P14" i="1"/>
  <c r="O31" i="58"/>
  <c r="O33" i="58" s="1"/>
  <c r="R13" i="1"/>
  <c r="T43" i="58"/>
  <c r="T29" i="58" s="1"/>
  <c r="T48" i="58"/>
  <c r="U36" i="58"/>
  <c r="T28" i="58"/>
  <c r="T42" i="58"/>
  <c r="S45" i="58"/>
  <c r="S49" i="58" s="1"/>
  <c r="S50" i="58" s="1"/>
  <c r="O33" i="28"/>
  <c r="P32" i="28"/>
  <c r="Q30" i="28" s="1"/>
  <c r="N42" i="28"/>
  <c r="R14" i="58" l="1"/>
  <c r="R14" i="28"/>
  <c r="P16" i="28"/>
  <c r="P16" i="58"/>
  <c r="R16" i="54"/>
  <c r="R18" i="54" s="1"/>
  <c r="U24" i="54"/>
  <c r="U28" i="54" s="1"/>
  <c r="V21" i="54"/>
  <c r="U13" i="54"/>
  <c r="S17" i="54"/>
  <c r="S38" i="54" s="1"/>
  <c r="S39" i="54" s="1"/>
  <c r="S40" i="54" s="1"/>
  <c r="S15" i="54" s="1"/>
  <c r="T29" i="54"/>
  <c r="S13" i="1"/>
  <c r="P31" i="58"/>
  <c r="P33" i="58" s="1"/>
  <c r="Q14" i="1"/>
  <c r="S32" i="58"/>
  <c r="S53" i="58" s="1"/>
  <c r="S54" i="58" s="1"/>
  <c r="S55" i="58" s="1"/>
  <c r="S30" i="58" s="1"/>
  <c r="T44" i="58"/>
  <c r="U42" i="58" s="1"/>
  <c r="U38" i="58"/>
  <c r="U39" i="58" s="1"/>
  <c r="P33" i="28"/>
  <c r="P42" i="28" s="1"/>
  <c r="O42" i="28"/>
  <c r="Q32" i="28"/>
  <c r="R30" i="28" s="1"/>
  <c r="S14" i="28" l="1"/>
  <c r="S14" i="58"/>
  <c r="Q16" i="28"/>
  <c r="Q16" i="58"/>
  <c r="S16" i="54"/>
  <c r="S18" i="54" s="1"/>
  <c r="U27" i="54"/>
  <c r="T30" i="54"/>
  <c r="T34" i="54" s="1"/>
  <c r="T35" i="54" s="1"/>
  <c r="V23" i="54"/>
  <c r="V24" i="54" s="1"/>
  <c r="V28" i="54" s="1"/>
  <c r="U33" i="54"/>
  <c r="U14" i="54"/>
  <c r="T45" i="58"/>
  <c r="T49" i="58" s="1"/>
  <c r="T50" i="58" s="1"/>
  <c r="T32" i="58" s="1"/>
  <c r="T53" i="58" s="1"/>
  <c r="T54" i="58" s="1"/>
  <c r="T55" i="58" s="1"/>
  <c r="T30" i="58" s="1"/>
  <c r="R14" i="1"/>
  <c r="T13" i="1"/>
  <c r="Q31" i="58"/>
  <c r="Q33" i="58" s="1"/>
  <c r="U28" i="58"/>
  <c r="V36" i="58"/>
  <c r="U43" i="58"/>
  <c r="U29" i="58" s="1"/>
  <c r="U48" i="58"/>
  <c r="R32" i="28"/>
  <c r="S30" i="28" s="1"/>
  <c r="Q33" i="28"/>
  <c r="T14" i="58" l="1"/>
  <c r="T14" i="28"/>
  <c r="R16" i="28"/>
  <c r="R16" i="58"/>
  <c r="V33" i="54"/>
  <c r="V14" i="54"/>
  <c r="W21" i="54"/>
  <c r="V13" i="54"/>
  <c r="T16" i="54"/>
  <c r="T17" i="54"/>
  <c r="T38" i="54" s="1"/>
  <c r="T39" i="54" s="1"/>
  <c r="T40" i="54" s="1"/>
  <c r="T15" i="54" s="1"/>
  <c r="U29" i="54"/>
  <c r="V27" i="54" s="1"/>
  <c r="U13" i="1"/>
  <c r="R31" i="58"/>
  <c r="R33" i="58" s="1"/>
  <c r="S14" i="1"/>
  <c r="U44" i="58"/>
  <c r="V38" i="58"/>
  <c r="Q42" i="28"/>
  <c r="S32" i="28"/>
  <c r="T30" i="28" s="1"/>
  <c r="R33" i="28"/>
  <c r="T18" i="54" l="1"/>
  <c r="S16" i="28"/>
  <c r="S16" i="58"/>
  <c r="U14" i="58"/>
  <c r="U14" i="28"/>
  <c r="V29" i="54"/>
  <c r="W27" i="54" s="1"/>
  <c r="U30" i="54"/>
  <c r="U34" i="54" s="1"/>
  <c r="U35" i="54" s="1"/>
  <c r="W23" i="54"/>
  <c r="W24" i="54" s="1"/>
  <c r="W28" i="54" s="1"/>
  <c r="V28" i="58"/>
  <c r="W36" i="58"/>
  <c r="S33" i="28"/>
  <c r="S42" i="28" s="1"/>
  <c r="T14" i="1"/>
  <c r="V13" i="1"/>
  <c r="S31" i="58"/>
  <c r="S33" i="58" s="1"/>
  <c r="V39" i="58"/>
  <c r="V42" i="58"/>
  <c r="U45" i="58"/>
  <c r="U49" i="58" s="1"/>
  <c r="U50" i="58" s="1"/>
  <c r="R42" i="28"/>
  <c r="T32" i="28"/>
  <c r="U30" i="28" s="1"/>
  <c r="V30" i="54" l="1"/>
  <c r="V34" i="54" s="1"/>
  <c r="V35" i="54" s="1"/>
  <c r="V16" i="54" s="1"/>
  <c r="V14" i="28"/>
  <c r="V14" i="58"/>
  <c r="T16" i="58"/>
  <c r="T16" i="28"/>
  <c r="W13" i="54"/>
  <c r="X21" i="54"/>
  <c r="W33" i="54"/>
  <c r="W14" i="54"/>
  <c r="U17" i="54"/>
  <c r="U38" i="54" s="1"/>
  <c r="U39" i="54" s="1"/>
  <c r="U40" i="54" s="1"/>
  <c r="U15" i="54" s="1"/>
  <c r="U16" i="54"/>
  <c r="W38" i="58"/>
  <c r="W13" i="1"/>
  <c r="T31" i="58"/>
  <c r="T33" i="58" s="1"/>
  <c r="U14" i="1"/>
  <c r="U32" i="58"/>
  <c r="U53" i="58" s="1"/>
  <c r="U54" i="58" s="1"/>
  <c r="U55" i="58" s="1"/>
  <c r="U30" i="58" s="1"/>
  <c r="V43" i="58"/>
  <c r="V29" i="58" s="1"/>
  <c r="V48" i="58"/>
  <c r="T33" i="28"/>
  <c r="U32" i="28"/>
  <c r="V30" i="28" s="1"/>
  <c r="V32" i="28" s="1"/>
  <c r="V17" i="54" l="1"/>
  <c r="V38" i="54" s="1"/>
  <c r="V39" i="54" s="1"/>
  <c r="V40" i="54" s="1"/>
  <c r="V15" i="54" s="1"/>
  <c r="V18" i="54" s="1"/>
  <c r="U16" i="28"/>
  <c r="U16" i="58"/>
  <c r="W14" i="28"/>
  <c r="W14" i="58"/>
  <c r="U18" i="54"/>
  <c r="X23" i="54"/>
  <c r="X13" i="54" s="1"/>
  <c r="W29" i="54"/>
  <c r="V33" i="28"/>
  <c r="V42" i="28" s="1"/>
  <c r="W30" i="28"/>
  <c r="X36" i="58"/>
  <c r="W28" i="58"/>
  <c r="W39" i="58"/>
  <c r="V14" i="1"/>
  <c r="X13" i="1"/>
  <c r="U31" i="58"/>
  <c r="U33" i="58" s="1"/>
  <c r="V44" i="58"/>
  <c r="T42" i="28"/>
  <c r="U33" i="28"/>
  <c r="X24" i="54" l="1"/>
  <c r="X28" i="54" s="1"/>
  <c r="X14" i="54" s="1"/>
  <c r="X14" i="28"/>
  <c r="X14" i="58"/>
  <c r="V16" i="58"/>
  <c r="V16" i="28"/>
  <c r="X27" i="54"/>
  <c r="W30" i="54"/>
  <c r="W34" i="54" s="1"/>
  <c r="W35" i="54" s="1"/>
  <c r="W32" i="28"/>
  <c r="X30" i="28" s="1"/>
  <c r="W48" i="58"/>
  <c r="W43" i="58"/>
  <c r="W29" i="58" s="1"/>
  <c r="X38" i="58"/>
  <c r="X28" i="58" s="1"/>
  <c r="V45" i="58"/>
  <c r="V49" i="58" s="1"/>
  <c r="V50" i="58" s="1"/>
  <c r="V32" i="58" s="1"/>
  <c r="V53" i="58" s="1"/>
  <c r="V54" i="58" s="1"/>
  <c r="V55" i="58" s="1"/>
  <c r="V30" i="58" s="1"/>
  <c r="W42" i="58"/>
  <c r="W14" i="1"/>
  <c r="U42" i="28"/>
  <c r="X33" i="54" l="1"/>
  <c r="W16" i="58"/>
  <c r="W16" i="28"/>
  <c r="X39" i="58"/>
  <c r="X43" i="58" s="1"/>
  <c r="X29" i="58" s="1"/>
  <c r="W16" i="54"/>
  <c r="W17" i="54"/>
  <c r="W38" i="54" s="1"/>
  <c r="W39" i="54" s="1"/>
  <c r="W40" i="54" s="1"/>
  <c r="W15" i="54" s="1"/>
  <c r="X29" i="54"/>
  <c r="X30" i="54" s="1"/>
  <c r="X34" i="54" s="1"/>
  <c r="V31" i="58"/>
  <c r="V33" i="58" s="1"/>
  <c r="X32" i="28"/>
  <c r="X33" i="28" s="1"/>
  <c r="W33" i="28"/>
  <c r="W44" i="58"/>
  <c r="X42" i="58" s="1"/>
  <c r="X14" i="1"/>
  <c r="X35" i="54" l="1"/>
  <c r="X17" i="54" s="1"/>
  <c r="X38" i="54" s="1"/>
  <c r="X39" i="54" s="1"/>
  <c r="X40" i="54" s="1"/>
  <c r="X15" i="54" s="1"/>
  <c r="W18" i="54"/>
  <c r="X48" i="58"/>
  <c r="X16" i="28"/>
  <c r="X16" i="58"/>
  <c r="X42" i="28"/>
  <c r="W42" i="28"/>
  <c r="W45" i="58"/>
  <c r="W49" i="58" s="1"/>
  <c r="W50" i="58" s="1"/>
  <c r="W31" i="58" s="1"/>
  <c r="X44" i="58"/>
  <c r="X45" i="58" s="1"/>
  <c r="X49" i="58" s="1"/>
  <c r="F87" i="1"/>
  <c r="G87" i="1" s="1"/>
  <c r="F89" i="1"/>
  <c r="G89" i="1" s="1"/>
  <c r="X50" i="58" l="1"/>
  <c r="X31" i="58" s="1"/>
  <c r="X16" i="54"/>
  <c r="X18" i="54"/>
  <c r="W32" i="58"/>
  <c r="W53" i="58" s="1"/>
  <c r="W54" i="58" s="1"/>
  <c r="W55" i="58" s="1"/>
  <c r="W30" i="58" s="1"/>
  <c r="W33" i="58" s="1"/>
  <c r="E14" i="49"/>
  <c r="E25" i="49" s="1"/>
  <c r="F88" i="1"/>
  <c r="G88" i="1" s="1"/>
  <c r="H88" i="1" s="1"/>
  <c r="H89" i="1"/>
  <c r="H87" i="1"/>
  <c r="X32" i="58" l="1"/>
  <c r="X53" i="58" s="1"/>
  <c r="X54" i="58" s="1"/>
  <c r="X55" i="58" s="1"/>
  <c r="X30" i="58" s="1"/>
  <c r="X33" i="58" s="1"/>
  <c r="E32" i="49"/>
  <c r="E31" i="49"/>
  <c r="E30" i="49"/>
  <c r="I88" i="1"/>
  <c r="I87" i="1"/>
  <c r="I89" i="1"/>
  <c r="E73" i="49" l="1"/>
  <c r="E72" i="49"/>
  <c r="E120" i="49"/>
  <c r="E78" i="49"/>
  <c r="E77" i="49"/>
  <c r="E130" i="49"/>
  <c r="E126" i="49"/>
  <c r="E131" i="49"/>
  <c r="E121" i="49"/>
  <c r="E125" i="49"/>
  <c r="E43" i="49"/>
  <c r="E100" i="49" s="1"/>
  <c r="E37" i="49"/>
  <c r="E42" i="49"/>
  <c r="E46" i="49"/>
  <c r="E102" i="49" s="1"/>
  <c r="E47" i="49"/>
  <c r="E103" i="49" s="1"/>
  <c r="E50" i="49"/>
  <c r="E105" i="49" s="1"/>
  <c r="E51" i="49"/>
  <c r="E106" i="49" s="1"/>
  <c r="E52" i="49"/>
  <c r="E107" i="49" s="1"/>
  <c r="E54" i="49"/>
  <c r="E109" i="49" s="1"/>
  <c r="E53" i="49"/>
  <c r="E108" i="49" s="1"/>
  <c r="J89" i="1"/>
  <c r="J87" i="1"/>
  <c r="J88" i="1"/>
  <c r="E99" i="49" l="1"/>
  <c r="H17" i="174" s="1"/>
  <c r="H28" i="174" s="1"/>
  <c r="E68" i="49"/>
  <c r="E116" i="49" s="1"/>
  <c r="K87" i="1"/>
  <c r="K88" i="1"/>
  <c r="K89" i="1"/>
  <c r="H43" i="174" l="1"/>
  <c r="H46" i="174" s="1"/>
  <c r="H52" i="174"/>
  <c r="H53" i="174" s="1"/>
  <c r="H55" i="174" s="1"/>
  <c r="L88" i="1"/>
  <c r="L87" i="1"/>
  <c r="L89" i="1"/>
  <c r="M89" i="1" l="1"/>
  <c r="M87" i="1"/>
  <c r="M88" i="1"/>
  <c r="N87" i="1" l="1"/>
  <c r="N89" i="1"/>
  <c r="N88" i="1"/>
  <c r="O89" i="1" l="1"/>
  <c r="O88" i="1"/>
  <c r="O87" i="1"/>
  <c r="P87" i="1" l="1"/>
  <c r="P88" i="1"/>
  <c r="P89" i="1"/>
  <c r="Q87" i="1" l="1"/>
  <c r="Q88" i="1"/>
  <c r="Q89" i="1"/>
  <c r="R89" i="1" l="1"/>
  <c r="R87" i="1"/>
  <c r="R88" i="1"/>
  <c r="S89" i="1" l="1"/>
  <c r="S88" i="1"/>
  <c r="S87" i="1"/>
  <c r="T89" i="1" l="1"/>
  <c r="T88" i="1"/>
  <c r="T87" i="1"/>
  <c r="U88" i="1" l="1"/>
  <c r="U89" i="1"/>
  <c r="U87" i="1"/>
  <c r="V87" i="1" l="1"/>
  <c r="W87" i="1" s="1"/>
  <c r="X87" i="1" s="1"/>
  <c r="V89" i="1"/>
  <c r="W89" i="1" s="1"/>
  <c r="X89" i="1" s="1"/>
  <c r="V88" i="1"/>
  <c r="W88" i="1" s="1"/>
  <c r="X88" i="1" s="1"/>
  <c r="E36" i="28" l="1"/>
  <c r="E38" i="28" l="1"/>
  <c r="F36" i="28" s="1"/>
  <c r="E39" i="28"/>
  <c r="E44" i="28" s="1"/>
  <c r="E47" i="28" s="1"/>
  <c r="F38" i="28" l="1"/>
  <c r="G36" i="28" s="1"/>
  <c r="E25" i="28"/>
  <c r="E50" i="28" s="1"/>
  <c r="E51" i="28" s="1"/>
  <c r="E24" i="28"/>
  <c r="F39" i="28" l="1"/>
  <c r="F44" i="28" s="1"/>
  <c r="F47" i="28" s="1"/>
  <c r="F24" i="28" s="1"/>
  <c r="E27" i="28"/>
  <c r="G38" i="28"/>
  <c r="H36" i="28" s="1"/>
  <c r="F25" i="28" l="1"/>
  <c r="F50" i="28" s="1"/>
  <c r="F51" i="28" s="1"/>
  <c r="G39" i="28"/>
  <c r="G44" i="28" s="1"/>
  <c r="G47" i="28" s="1"/>
  <c r="G25" i="28" s="1"/>
  <c r="G50" i="28" s="1"/>
  <c r="G51" i="28" s="1"/>
  <c r="H38" i="28"/>
  <c r="I36" i="28" s="1"/>
  <c r="G24" i="28" l="1"/>
  <c r="H39" i="28"/>
  <c r="H44" i="28" s="1"/>
  <c r="H47" i="28" s="1"/>
  <c r="H25" i="28" s="1"/>
  <c r="H50" i="28" s="1"/>
  <c r="H51" i="28" s="1"/>
  <c r="I38" i="28"/>
  <c r="J36" i="28" s="1"/>
  <c r="H24" i="28" l="1"/>
  <c r="J38" i="28"/>
  <c r="K36" i="28" s="1"/>
  <c r="J39" i="28"/>
  <c r="J44" i="28" s="1"/>
  <c r="J47" i="28" s="1"/>
  <c r="I39" i="28"/>
  <c r="I44" i="28" s="1"/>
  <c r="I47" i="28" s="1"/>
  <c r="J24" i="28" l="1"/>
  <c r="J25" i="28"/>
  <c r="J50" i="28" s="1"/>
  <c r="J51" i="28" s="1"/>
  <c r="I24" i="28"/>
  <c r="I25" i="28"/>
  <c r="I50" i="28" s="1"/>
  <c r="I51" i="28" s="1"/>
  <c r="K38" i="28"/>
  <c r="L36" i="28" s="1"/>
  <c r="L38" i="28" l="1"/>
  <c r="M36" i="28" s="1"/>
  <c r="K39" i="28"/>
  <c r="K44" i="28" s="1"/>
  <c r="K47" i="28" s="1"/>
  <c r="L39" i="28" l="1"/>
  <c r="L44" i="28" s="1"/>
  <c r="L47" i="28" s="1"/>
  <c r="L25" i="28" s="1"/>
  <c r="L50" i="28" s="1"/>
  <c r="L51" i="28" s="1"/>
  <c r="K25" i="28"/>
  <c r="K50" i="28" s="1"/>
  <c r="K51" i="28" s="1"/>
  <c r="K24" i="28"/>
  <c r="M38" i="28"/>
  <c r="N36" i="28" s="1"/>
  <c r="L24" i="28" l="1"/>
  <c r="M39" i="28"/>
  <c r="M44" i="28" s="1"/>
  <c r="M47" i="28" s="1"/>
  <c r="N38" i="28"/>
  <c r="O36" i="28" s="1"/>
  <c r="N39" i="28"/>
  <c r="N44" i="28" s="1"/>
  <c r="N47" i="28" s="1"/>
  <c r="M25" i="28" l="1"/>
  <c r="M50" i="28" s="1"/>
  <c r="M51" i="28" s="1"/>
  <c r="M24" i="28"/>
  <c r="N25" i="28"/>
  <c r="N50" i="28" s="1"/>
  <c r="N51" i="28" s="1"/>
  <c r="N24" i="28"/>
  <c r="O38" i="28"/>
  <c r="P36" i="28" s="1"/>
  <c r="O39" i="28" l="1"/>
  <c r="O44" i="28" s="1"/>
  <c r="O47" i="28" s="1"/>
  <c r="P38" i="28"/>
  <c r="Q36" i="28" s="1"/>
  <c r="O25" i="28"/>
  <c r="O50" i="28" s="1"/>
  <c r="O51" i="28" s="1"/>
  <c r="O24" i="28"/>
  <c r="P39" i="28" l="1"/>
  <c r="P44" i="28" s="1"/>
  <c r="P47" i="28" s="1"/>
  <c r="P24" i="28" s="1"/>
  <c r="Q38" i="28"/>
  <c r="R36" i="28" s="1"/>
  <c r="Q39" i="28"/>
  <c r="Q44" i="28" s="1"/>
  <c r="Q47" i="28" s="1"/>
  <c r="P25" i="28" l="1"/>
  <c r="P50" i="28" s="1"/>
  <c r="P51" i="28" s="1"/>
  <c r="Q25" i="28"/>
  <c r="Q50" i="28" s="1"/>
  <c r="Q51" i="28" s="1"/>
  <c r="Q24" i="28"/>
  <c r="R38" i="28"/>
  <c r="S36" i="28" s="1"/>
  <c r="R39" i="28" l="1"/>
  <c r="R44" i="28" s="1"/>
  <c r="R47" i="28" s="1"/>
  <c r="R25" i="28" s="1"/>
  <c r="R50" i="28" s="1"/>
  <c r="R51" i="28" s="1"/>
  <c r="R24" i="28"/>
  <c r="S38" i="28"/>
  <c r="T36" i="28" s="1"/>
  <c r="S39" i="28" l="1"/>
  <c r="S44" i="28" s="1"/>
  <c r="S47" i="28" s="1"/>
  <c r="S24" i="28" s="1"/>
  <c r="T38" i="28"/>
  <c r="U36" i="28" s="1"/>
  <c r="T39" i="28" l="1"/>
  <c r="T44" i="28" s="1"/>
  <c r="T47" i="28" s="1"/>
  <c r="T24" i="28" s="1"/>
  <c r="S25" i="28"/>
  <c r="S50" i="28" s="1"/>
  <c r="S51" i="28" s="1"/>
  <c r="U38" i="28"/>
  <c r="V36" i="28" s="1"/>
  <c r="T25" i="28" l="1"/>
  <c r="T50" i="28" s="1"/>
  <c r="T51" i="28" s="1"/>
  <c r="U39" i="28"/>
  <c r="U44" i="28" s="1"/>
  <c r="U47" i="28" s="1"/>
  <c r="V38" i="28"/>
  <c r="W36" i="28" s="1"/>
  <c r="U24" i="28"/>
  <c r="U25" i="28"/>
  <c r="U50" i="28" s="1"/>
  <c r="U51" i="28" s="1"/>
  <c r="V39" i="28" l="1"/>
  <c r="V44" i="28" s="1"/>
  <c r="V47" i="28" s="1"/>
  <c r="V24" i="28" s="1"/>
  <c r="W38" i="28"/>
  <c r="X36" i="28" s="1"/>
  <c r="X38" i="28" s="1"/>
  <c r="X39" i="28" s="1"/>
  <c r="X44" i="28" s="1"/>
  <c r="X47" i="28" s="1"/>
  <c r="W39" i="28"/>
  <c r="W44" i="28" s="1"/>
  <c r="W47" i="28" s="1"/>
  <c r="V25" i="28" l="1"/>
  <c r="V50" i="28" s="1"/>
  <c r="V51" i="28" s="1"/>
  <c r="W25" i="28"/>
  <c r="W50" i="28" s="1"/>
  <c r="W51" i="28" s="1"/>
  <c r="W24" i="28"/>
  <c r="X24" i="28"/>
  <c r="X25" i="28"/>
  <c r="X50" i="28" s="1"/>
  <c r="X51" i="28" s="1"/>
  <c r="F113" i="49"/>
  <c r="G27" i="28"/>
  <c r="G11" i="49" s="1"/>
  <c r="G14" i="49" s="1"/>
  <c r="I27" i="28"/>
  <c r="I11" i="49" s="1"/>
  <c r="I14" i="49" s="1"/>
  <c r="L27" i="28"/>
  <c r="L11" i="49" s="1"/>
  <c r="L14" i="49" s="1"/>
  <c r="F27" i="28"/>
  <c r="F11" i="49" s="1"/>
  <c r="F14" i="49" s="1"/>
  <c r="M27" i="28"/>
  <c r="M11" i="49" s="1"/>
  <c r="M14" i="49" s="1"/>
  <c r="N27" i="28"/>
  <c r="N11" i="49" s="1"/>
  <c r="N14" i="49" s="1"/>
  <c r="H27" i="28"/>
  <c r="H11" i="49" s="1"/>
  <c r="H14" i="49" s="1"/>
  <c r="P27" i="28"/>
  <c r="P11" i="49" s="1"/>
  <c r="P14" i="49" s="1"/>
  <c r="J27" i="28"/>
  <c r="J11" i="49" s="1"/>
  <c r="J14" i="49" s="1"/>
  <c r="T27" i="28"/>
  <c r="T11" i="49" s="1"/>
  <c r="T14" i="49" s="1"/>
  <c r="T30" i="49" s="1"/>
  <c r="T42" i="49" s="1"/>
  <c r="R27" i="28"/>
  <c r="R11" i="49" s="1"/>
  <c r="R14" i="49" s="1"/>
  <c r="R30" i="49" s="1"/>
  <c r="R42" i="49" s="1"/>
  <c r="R99" i="49" s="1"/>
  <c r="S27" i="28"/>
  <c r="S11" i="49" s="1"/>
  <c r="S14" i="49" s="1"/>
  <c r="K27" i="28"/>
  <c r="K11" i="49" s="1"/>
  <c r="K14" i="49" s="1"/>
  <c r="W27" i="28"/>
  <c r="W11" i="49" s="1"/>
  <c r="W14" i="49" s="1"/>
  <c r="U27" i="28"/>
  <c r="U11" i="49" s="1"/>
  <c r="U14" i="49" s="1"/>
  <c r="O27" i="28"/>
  <c r="O11" i="49" s="1"/>
  <c r="O14" i="49" s="1"/>
  <c r="Q27" i="28"/>
  <c r="Q11" i="49" s="1"/>
  <c r="Q14" i="49" s="1"/>
  <c r="V27" i="28" l="1"/>
  <c r="V11" i="49" s="1"/>
  <c r="V14" i="49" s="1"/>
  <c r="X27" i="28"/>
  <c r="X11" i="49" s="1"/>
  <c r="X14" i="49" s="1"/>
  <c r="X30" i="49" s="1"/>
  <c r="X43" i="49" s="1"/>
  <c r="X100" i="49" s="1"/>
  <c r="W25" i="49"/>
  <c r="W32" i="49"/>
  <c r="W30" i="49"/>
  <c r="W31" i="49"/>
  <c r="J25" i="49"/>
  <c r="J30" i="49"/>
  <c r="J32" i="49"/>
  <c r="J31" i="49"/>
  <c r="S25" i="49"/>
  <c r="S30" i="49"/>
  <c r="S31" i="49"/>
  <c r="S32" i="49"/>
  <c r="T99" i="49"/>
  <c r="T43" i="49"/>
  <c r="T100" i="49" s="1"/>
  <c r="Q25" i="49"/>
  <c r="Q32" i="49"/>
  <c r="Q30" i="49"/>
  <c r="Q31" i="49"/>
  <c r="T25" i="49"/>
  <c r="T32" i="49"/>
  <c r="T31" i="49"/>
  <c r="T120" i="49" s="1"/>
  <c r="W31" i="174" s="1"/>
  <c r="N25" i="49"/>
  <c r="N31" i="49"/>
  <c r="N32" i="49"/>
  <c r="N30" i="49"/>
  <c r="G30" i="49"/>
  <c r="G32" i="49"/>
  <c r="G25" i="49"/>
  <c r="G31" i="49"/>
  <c r="R25" i="49"/>
  <c r="R31" i="49"/>
  <c r="R125" i="49" s="1"/>
  <c r="U41" i="174" s="1"/>
  <c r="R32" i="49"/>
  <c r="H25" i="49"/>
  <c r="H31" i="49"/>
  <c r="H32" i="49"/>
  <c r="H30" i="49"/>
  <c r="K25" i="49"/>
  <c r="K31" i="49"/>
  <c r="K32" i="49"/>
  <c r="K30" i="49"/>
  <c r="R43" i="49"/>
  <c r="R100" i="49" s="1"/>
  <c r="U17" i="174" s="1"/>
  <c r="U25" i="49"/>
  <c r="U30" i="49"/>
  <c r="U31" i="49"/>
  <c r="U32" i="49"/>
  <c r="I25" i="49"/>
  <c r="I31" i="49"/>
  <c r="I32" i="49"/>
  <c r="I30" i="49"/>
  <c r="M25" i="49"/>
  <c r="M31" i="49"/>
  <c r="M32" i="49"/>
  <c r="M30" i="49"/>
  <c r="X25" i="49"/>
  <c r="X31" i="49"/>
  <c r="X32" i="49"/>
  <c r="P25" i="49"/>
  <c r="P32" i="49"/>
  <c r="P30" i="49"/>
  <c r="P31" i="49"/>
  <c r="V25" i="49"/>
  <c r="V30" i="49"/>
  <c r="V31" i="49"/>
  <c r="V32" i="49"/>
  <c r="O25" i="49"/>
  <c r="O32" i="49"/>
  <c r="O31" i="49"/>
  <c r="O30" i="49"/>
  <c r="F31" i="49"/>
  <c r="F25" i="49"/>
  <c r="F32" i="49"/>
  <c r="F30" i="49"/>
  <c r="L25" i="49"/>
  <c r="L32" i="49"/>
  <c r="L31" i="49"/>
  <c r="L30" i="49"/>
  <c r="W17" i="174" l="1"/>
  <c r="X42" i="49"/>
  <c r="X99" i="49" s="1"/>
  <c r="AA17" i="174" s="1"/>
  <c r="X130" i="49"/>
  <c r="AA50" i="174" s="1"/>
  <c r="T37" i="49"/>
  <c r="T72" i="49"/>
  <c r="T126" i="49"/>
  <c r="W40" i="174" s="1"/>
  <c r="T73" i="49"/>
  <c r="X120" i="49"/>
  <c r="AA31" i="174" s="1"/>
  <c r="T131" i="49"/>
  <c r="W49" i="174" s="1"/>
  <c r="X126" i="49"/>
  <c r="AA40" i="174" s="1"/>
  <c r="T77" i="49"/>
  <c r="X131" i="49"/>
  <c r="AA49" i="174" s="1"/>
  <c r="X78" i="49"/>
  <c r="R131" i="49"/>
  <c r="U49" i="174" s="1"/>
  <c r="I47" i="49"/>
  <c r="I103" i="49" s="1"/>
  <c r="I46" i="49"/>
  <c r="I102" i="49" s="1"/>
  <c r="J53" i="49"/>
  <c r="J108" i="49" s="1"/>
  <c r="J51" i="49"/>
  <c r="J106" i="49" s="1"/>
  <c r="J52" i="49"/>
  <c r="J107" i="49" s="1"/>
  <c r="J54" i="49"/>
  <c r="J109" i="49" s="1"/>
  <c r="J50" i="49"/>
  <c r="J105" i="49" s="1"/>
  <c r="F47" i="49"/>
  <c r="F103" i="49" s="1"/>
  <c r="F46" i="49"/>
  <c r="F102" i="49" s="1"/>
  <c r="I18" i="174" s="1"/>
  <c r="O73" i="49"/>
  <c r="O131" i="49"/>
  <c r="R49" i="174" s="1"/>
  <c r="O121" i="49"/>
  <c r="R32" i="174" s="1"/>
  <c r="O130" i="49"/>
  <c r="R50" i="174" s="1"/>
  <c r="R51" i="174" s="1"/>
  <c r="O43" i="49"/>
  <c r="O100" i="49" s="1"/>
  <c r="O126" i="49"/>
  <c r="R40" i="174" s="1"/>
  <c r="R42" i="174" s="1"/>
  <c r="O37" i="49"/>
  <c r="O78" i="49"/>
  <c r="O120" i="49"/>
  <c r="R31" i="174" s="1"/>
  <c r="O125" i="49"/>
  <c r="R41" i="174" s="1"/>
  <c r="O72" i="49"/>
  <c r="O77" i="49"/>
  <c r="O42" i="49"/>
  <c r="H77" i="49"/>
  <c r="H43" i="49"/>
  <c r="H100" i="49" s="1"/>
  <c r="H73" i="49"/>
  <c r="H120" i="49"/>
  <c r="K31" i="174" s="1"/>
  <c r="H125" i="49"/>
  <c r="K41" i="174" s="1"/>
  <c r="H78" i="49"/>
  <c r="H72" i="49"/>
  <c r="H130" i="49"/>
  <c r="K50" i="174" s="1"/>
  <c r="H37" i="49"/>
  <c r="H131" i="49"/>
  <c r="K49" i="174" s="1"/>
  <c r="H126" i="49"/>
  <c r="K40" i="174" s="1"/>
  <c r="K42" i="174" s="1"/>
  <c r="H121" i="49"/>
  <c r="K32" i="174" s="1"/>
  <c r="K33" i="174" s="1"/>
  <c r="H42" i="49"/>
  <c r="N46" i="49"/>
  <c r="N102" i="49" s="1"/>
  <c r="N47" i="49"/>
  <c r="N103" i="49" s="1"/>
  <c r="O47" i="49"/>
  <c r="O103" i="49" s="1"/>
  <c r="O46" i="49"/>
  <c r="O102" i="49" s="1"/>
  <c r="X46" i="49"/>
  <c r="X102" i="49" s="1"/>
  <c r="X47" i="49"/>
  <c r="X103" i="49" s="1"/>
  <c r="U51" i="49"/>
  <c r="U106" i="49" s="1"/>
  <c r="U50" i="49"/>
  <c r="U105" i="49" s="1"/>
  <c r="U54" i="49"/>
  <c r="U109" i="49" s="1"/>
  <c r="U53" i="49"/>
  <c r="U108" i="49" s="1"/>
  <c r="U52" i="49"/>
  <c r="U107" i="49" s="1"/>
  <c r="R73" i="49"/>
  <c r="R126" i="49"/>
  <c r="U40" i="174" s="1"/>
  <c r="U42" i="174" s="1"/>
  <c r="H52" i="49"/>
  <c r="H107" i="49" s="1"/>
  <c r="H51" i="49"/>
  <c r="H106" i="49" s="1"/>
  <c r="H53" i="49"/>
  <c r="H108" i="49" s="1"/>
  <c r="H54" i="49"/>
  <c r="H109" i="49" s="1"/>
  <c r="H50" i="49"/>
  <c r="H105" i="49" s="1"/>
  <c r="G47" i="49"/>
  <c r="G103" i="49" s="1"/>
  <c r="G46" i="49"/>
  <c r="G102" i="49" s="1"/>
  <c r="Q54" i="49"/>
  <c r="Q109" i="49" s="1"/>
  <c r="Q50" i="49"/>
  <c r="Q105" i="49" s="1"/>
  <c r="Q51" i="49"/>
  <c r="Q106" i="49" s="1"/>
  <c r="Q52" i="49"/>
  <c r="Q107" i="49" s="1"/>
  <c r="Q53" i="49"/>
  <c r="Q108" i="49" s="1"/>
  <c r="X125" i="49"/>
  <c r="AA41" i="174" s="1"/>
  <c r="L120" i="49"/>
  <c r="O31" i="174" s="1"/>
  <c r="L77" i="49"/>
  <c r="L130" i="49"/>
  <c r="O50" i="174" s="1"/>
  <c r="L131" i="49"/>
  <c r="O49" i="174" s="1"/>
  <c r="O51" i="174" s="1"/>
  <c r="L126" i="49"/>
  <c r="O40" i="174" s="1"/>
  <c r="L72" i="49"/>
  <c r="L73" i="49"/>
  <c r="L37" i="49"/>
  <c r="L78" i="49"/>
  <c r="L43" i="49"/>
  <c r="L100" i="49" s="1"/>
  <c r="L125" i="49"/>
  <c r="O41" i="174" s="1"/>
  <c r="L121" i="49"/>
  <c r="O32" i="174" s="1"/>
  <c r="L42" i="49"/>
  <c r="N131" i="49"/>
  <c r="Q49" i="174" s="1"/>
  <c r="N121" i="49"/>
  <c r="Q32" i="174" s="1"/>
  <c r="N77" i="49"/>
  <c r="N126" i="49"/>
  <c r="Q40" i="174" s="1"/>
  <c r="N72" i="49"/>
  <c r="N73" i="49"/>
  <c r="N125" i="49"/>
  <c r="Q41" i="174" s="1"/>
  <c r="N43" i="49"/>
  <c r="N100" i="49" s="1"/>
  <c r="N130" i="49"/>
  <c r="Q50" i="174" s="1"/>
  <c r="Q51" i="174" s="1"/>
  <c r="N78" i="49"/>
  <c r="N42" i="49"/>
  <c r="N120" i="49"/>
  <c r="Q31" i="174" s="1"/>
  <c r="N37" i="49"/>
  <c r="L47" i="49"/>
  <c r="L103" i="49" s="1"/>
  <c r="L46" i="49"/>
  <c r="L102" i="49" s="1"/>
  <c r="O18" i="174" s="1"/>
  <c r="R77" i="49"/>
  <c r="N52" i="49"/>
  <c r="N107" i="49" s="1"/>
  <c r="N53" i="49"/>
  <c r="N108" i="49" s="1"/>
  <c r="N51" i="49"/>
  <c r="N106" i="49" s="1"/>
  <c r="N50" i="49"/>
  <c r="N105" i="49" s="1"/>
  <c r="N54" i="49"/>
  <c r="N109" i="49" s="1"/>
  <c r="X52" i="49"/>
  <c r="X107" i="49" s="1"/>
  <c r="X51" i="49"/>
  <c r="X106" i="49" s="1"/>
  <c r="X54" i="49"/>
  <c r="X109" i="49" s="1"/>
  <c r="X53" i="49"/>
  <c r="X108" i="49" s="1"/>
  <c r="X50" i="49"/>
  <c r="X105" i="49" s="1"/>
  <c r="R130" i="49"/>
  <c r="U50" i="174" s="1"/>
  <c r="O52" i="49"/>
  <c r="O107" i="49" s="1"/>
  <c r="O54" i="49"/>
  <c r="O109" i="49" s="1"/>
  <c r="O50" i="49"/>
  <c r="O105" i="49" s="1"/>
  <c r="O51" i="49"/>
  <c r="O106" i="49" s="1"/>
  <c r="O53" i="49"/>
  <c r="O108" i="49" s="1"/>
  <c r="R37" i="49"/>
  <c r="H47" i="49"/>
  <c r="H103" i="49" s="1"/>
  <c r="H46" i="49"/>
  <c r="H102" i="49" s="1"/>
  <c r="M72" i="49"/>
  <c r="M131" i="49"/>
  <c r="P49" i="174" s="1"/>
  <c r="M78" i="49"/>
  <c r="M130" i="49"/>
  <c r="P50" i="174" s="1"/>
  <c r="M121" i="49"/>
  <c r="P32" i="174" s="1"/>
  <c r="M120" i="49"/>
  <c r="P31" i="174" s="1"/>
  <c r="M125" i="49"/>
  <c r="P41" i="174" s="1"/>
  <c r="M37" i="49"/>
  <c r="M73" i="49"/>
  <c r="M77" i="49"/>
  <c r="M43" i="49"/>
  <c r="M100" i="49" s="1"/>
  <c r="M126" i="49"/>
  <c r="P40" i="174" s="1"/>
  <c r="P42" i="174" s="1"/>
  <c r="M42" i="49"/>
  <c r="U120" i="49"/>
  <c r="X31" i="174" s="1"/>
  <c r="U126" i="49"/>
  <c r="X40" i="174" s="1"/>
  <c r="U72" i="49"/>
  <c r="U131" i="49"/>
  <c r="X49" i="174" s="1"/>
  <c r="U121" i="49"/>
  <c r="X32" i="174" s="1"/>
  <c r="X33" i="174" s="1"/>
  <c r="U130" i="49"/>
  <c r="X50" i="174" s="1"/>
  <c r="U77" i="49"/>
  <c r="U125" i="49"/>
  <c r="X41" i="174" s="1"/>
  <c r="U37" i="49"/>
  <c r="U78" i="49"/>
  <c r="U73" i="49"/>
  <c r="U43" i="49"/>
  <c r="U100" i="49" s="1"/>
  <c r="U42" i="49"/>
  <c r="R72" i="49"/>
  <c r="K130" i="49"/>
  <c r="N50" i="174" s="1"/>
  <c r="N51" i="174" s="1"/>
  <c r="K121" i="49"/>
  <c r="N32" i="174" s="1"/>
  <c r="K126" i="49"/>
  <c r="N40" i="174" s="1"/>
  <c r="K120" i="49"/>
  <c r="N31" i="174" s="1"/>
  <c r="K131" i="49"/>
  <c r="N49" i="174" s="1"/>
  <c r="K73" i="49"/>
  <c r="K125" i="49"/>
  <c r="N41" i="174" s="1"/>
  <c r="K72" i="49"/>
  <c r="K43" i="49"/>
  <c r="K100" i="49" s="1"/>
  <c r="K78" i="49"/>
  <c r="K37" i="49"/>
  <c r="K77" i="49"/>
  <c r="K42" i="49"/>
  <c r="G50" i="49"/>
  <c r="G105" i="49" s="1"/>
  <c r="G52" i="49"/>
  <c r="G107" i="49" s="1"/>
  <c r="G53" i="49"/>
  <c r="G108" i="49" s="1"/>
  <c r="G54" i="49"/>
  <c r="G109" i="49" s="1"/>
  <c r="G51" i="49"/>
  <c r="G106" i="49" s="1"/>
  <c r="T47" i="49"/>
  <c r="T103" i="49" s="1"/>
  <c r="T46" i="49"/>
  <c r="T130" i="49"/>
  <c r="W50" i="174" s="1"/>
  <c r="S51" i="49"/>
  <c r="S106" i="49" s="1"/>
  <c r="S52" i="49"/>
  <c r="S107" i="49" s="1"/>
  <c r="S50" i="49"/>
  <c r="S105" i="49" s="1"/>
  <c r="S53" i="49"/>
  <c r="S108" i="49" s="1"/>
  <c r="S54" i="49"/>
  <c r="S109" i="49" s="1"/>
  <c r="X121" i="49"/>
  <c r="AA32" i="174" s="1"/>
  <c r="X37" i="49"/>
  <c r="W125" i="49"/>
  <c r="Z41" i="174" s="1"/>
  <c r="W130" i="49"/>
  <c r="Z50" i="174" s="1"/>
  <c r="W77" i="49"/>
  <c r="W131" i="49"/>
  <c r="Z49" i="174" s="1"/>
  <c r="W121" i="49"/>
  <c r="Z32" i="174" s="1"/>
  <c r="Z33" i="174" s="1"/>
  <c r="W78" i="49"/>
  <c r="W73" i="49"/>
  <c r="W37" i="49"/>
  <c r="W120" i="49"/>
  <c r="Z31" i="174" s="1"/>
  <c r="W72" i="49"/>
  <c r="W126" i="49"/>
  <c r="Z40" i="174" s="1"/>
  <c r="Z42" i="174" s="1"/>
  <c r="W42" i="49"/>
  <c r="W43" i="49"/>
  <c r="W100" i="49" s="1"/>
  <c r="K47" i="49"/>
  <c r="K103" i="49" s="1"/>
  <c r="K46" i="49"/>
  <c r="K102" i="49" s="1"/>
  <c r="V46" i="49"/>
  <c r="V102" i="49" s="1"/>
  <c r="V47" i="49"/>
  <c r="V103" i="49" s="1"/>
  <c r="R78" i="49"/>
  <c r="Q47" i="49"/>
  <c r="Q103" i="49" s="1"/>
  <c r="Q46" i="49"/>
  <c r="Q102" i="49" s="1"/>
  <c r="L52" i="49"/>
  <c r="L107" i="49" s="1"/>
  <c r="L51" i="49"/>
  <c r="L106" i="49" s="1"/>
  <c r="L53" i="49"/>
  <c r="L108" i="49" s="1"/>
  <c r="L54" i="49"/>
  <c r="L109" i="49" s="1"/>
  <c r="L50" i="49"/>
  <c r="L105" i="49" s="1"/>
  <c r="R120" i="49"/>
  <c r="U31" i="174" s="1"/>
  <c r="W46" i="49"/>
  <c r="W102" i="49" s="1"/>
  <c r="W47" i="49"/>
  <c r="W103" i="49" s="1"/>
  <c r="F120" i="49"/>
  <c r="I31" i="174" s="1"/>
  <c r="F130" i="49"/>
  <c r="I50" i="174" s="1"/>
  <c r="F131" i="49"/>
  <c r="I49" i="174" s="1"/>
  <c r="F73" i="49"/>
  <c r="F78" i="49"/>
  <c r="F126" i="49"/>
  <c r="I40" i="174" s="1"/>
  <c r="F77" i="49"/>
  <c r="F125" i="49"/>
  <c r="I41" i="174" s="1"/>
  <c r="F72" i="49"/>
  <c r="F37" i="49"/>
  <c r="F121" i="49"/>
  <c r="I32" i="174" s="1"/>
  <c r="F43" i="49"/>
  <c r="F100" i="49" s="1"/>
  <c r="F42" i="49"/>
  <c r="P47" i="49"/>
  <c r="P103" i="49" s="1"/>
  <c r="P46" i="49"/>
  <c r="P102" i="49" s="1"/>
  <c r="F54" i="49"/>
  <c r="F109" i="49" s="1"/>
  <c r="F53" i="49"/>
  <c r="F108" i="49" s="1"/>
  <c r="F51" i="49"/>
  <c r="F106" i="49" s="1"/>
  <c r="F52" i="49"/>
  <c r="F107" i="49" s="1"/>
  <c r="F50" i="49"/>
  <c r="F105" i="49" s="1"/>
  <c r="P131" i="49"/>
  <c r="S49" i="174" s="1"/>
  <c r="P121" i="49"/>
  <c r="S32" i="174" s="1"/>
  <c r="P77" i="49"/>
  <c r="P78" i="49"/>
  <c r="P120" i="49"/>
  <c r="S31" i="174" s="1"/>
  <c r="P126" i="49"/>
  <c r="S40" i="174" s="1"/>
  <c r="P130" i="49"/>
  <c r="S50" i="174" s="1"/>
  <c r="P43" i="49"/>
  <c r="P100" i="49" s="1"/>
  <c r="P72" i="49"/>
  <c r="P125" i="49"/>
  <c r="S41" i="174" s="1"/>
  <c r="P73" i="49"/>
  <c r="P37" i="49"/>
  <c r="P42" i="49"/>
  <c r="M54" i="49"/>
  <c r="M109" i="49" s="1"/>
  <c r="M53" i="49"/>
  <c r="M108" i="49" s="1"/>
  <c r="M52" i="49"/>
  <c r="M107" i="49" s="1"/>
  <c r="M50" i="49"/>
  <c r="M105" i="49" s="1"/>
  <c r="M51" i="49"/>
  <c r="M106" i="49" s="1"/>
  <c r="I120" i="49"/>
  <c r="L31" i="174" s="1"/>
  <c r="I125" i="49"/>
  <c r="L41" i="174" s="1"/>
  <c r="I131" i="49"/>
  <c r="L49" i="174" s="1"/>
  <c r="I130" i="49"/>
  <c r="L50" i="174" s="1"/>
  <c r="I121" i="49"/>
  <c r="L32" i="174" s="1"/>
  <c r="I73" i="49"/>
  <c r="I43" i="49"/>
  <c r="I100" i="49" s="1"/>
  <c r="I126" i="49"/>
  <c r="L40" i="174" s="1"/>
  <c r="I77" i="49"/>
  <c r="I72" i="49"/>
  <c r="I37" i="49"/>
  <c r="I78" i="49"/>
  <c r="I42" i="49"/>
  <c r="K52" i="49"/>
  <c r="K107" i="49" s="1"/>
  <c r="K54" i="49"/>
  <c r="K109" i="49" s="1"/>
  <c r="K53" i="49"/>
  <c r="K108" i="49" s="1"/>
  <c r="K50" i="49"/>
  <c r="K105" i="49" s="1"/>
  <c r="K51" i="49"/>
  <c r="K106" i="49" s="1"/>
  <c r="G126" i="49"/>
  <c r="J40" i="174" s="1"/>
  <c r="J42" i="174" s="1"/>
  <c r="G77" i="49"/>
  <c r="G73" i="49"/>
  <c r="G125" i="49"/>
  <c r="J41" i="174" s="1"/>
  <c r="G78" i="49"/>
  <c r="G130" i="49"/>
  <c r="J50" i="174" s="1"/>
  <c r="G43" i="49"/>
  <c r="G100" i="49" s="1"/>
  <c r="G120" i="49"/>
  <c r="J31" i="174" s="1"/>
  <c r="G72" i="49"/>
  <c r="G121" i="49"/>
  <c r="J32" i="174" s="1"/>
  <c r="G37" i="49"/>
  <c r="G131" i="49"/>
  <c r="J49" i="174" s="1"/>
  <c r="G42" i="49"/>
  <c r="T52" i="49"/>
  <c r="T107" i="49" s="1"/>
  <c r="T53" i="49"/>
  <c r="T108" i="49" s="1"/>
  <c r="T54" i="49"/>
  <c r="T109" i="49" s="1"/>
  <c r="T51" i="49"/>
  <c r="T106" i="49" s="1"/>
  <c r="T50" i="49"/>
  <c r="T105" i="49" s="1"/>
  <c r="T121" i="49"/>
  <c r="W32" i="174" s="1"/>
  <c r="W33" i="174" s="1"/>
  <c r="T78" i="49"/>
  <c r="S47" i="49"/>
  <c r="S103" i="49" s="1"/>
  <c r="S46" i="49"/>
  <c r="S102" i="49" s="1"/>
  <c r="V18" i="174" s="1"/>
  <c r="X72" i="49"/>
  <c r="X73" i="49"/>
  <c r="W52" i="49"/>
  <c r="W107" i="49" s="1"/>
  <c r="W53" i="49"/>
  <c r="W108" i="49" s="1"/>
  <c r="W54" i="49"/>
  <c r="W109" i="49" s="1"/>
  <c r="W51" i="49"/>
  <c r="W106" i="49" s="1"/>
  <c r="W50" i="49"/>
  <c r="W105" i="49" s="1"/>
  <c r="V54" i="49"/>
  <c r="V109" i="49" s="1"/>
  <c r="V53" i="49"/>
  <c r="V108" i="49" s="1"/>
  <c r="V52" i="49"/>
  <c r="V107" i="49" s="1"/>
  <c r="V51" i="49"/>
  <c r="V106" i="49" s="1"/>
  <c r="V50" i="49"/>
  <c r="V105" i="49" s="1"/>
  <c r="R47" i="49"/>
  <c r="R103" i="49" s="1"/>
  <c r="R46" i="49"/>
  <c r="R102" i="49" s="1"/>
  <c r="J77" i="49"/>
  <c r="J125" i="49"/>
  <c r="M41" i="174" s="1"/>
  <c r="J37" i="49"/>
  <c r="J73" i="49"/>
  <c r="J131" i="49"/>
  <c r="M49" i="174" s="1"/>
  <c r="J120" i="49"/>
  <c r="M31" i="174" s="1"/>
  <c r="J130" i="49"/>
  <c r="M50" i="174" s="1"/>
  <c r="J43" i="49"/>
  <c r="J100" i="49" s="1"/>
  <c r="J121" i="49"/>
  <c r="M32" i="174" s="1"/>
  <c r="J126" i="49"/>
  <c r="M40" i="174" s="1"/>
  <c r="M42" i="174" s="1"/>
  <c r="J78" i="49"/>
  <c r="J72" i="49"/>
  <c r="J42" i="49"/>
  <c r="V131" i="49"/>
  <c r="Y49" i="174" s="1"/>
  <c r="V77" i="49"/>
  <c r="V125" i="49"/>
  <c r="Y41" i="174" s="1"/>
  <c r="V120" i="49"/>
  <c r="Y31" i="174" s="1"/>
  <c r="V121" i="49"/>
  <c r="Y32" i="174" s="1"/>
  <c r="Y33" i="174" s="1"/>
  <c r="V130" i="49"/>
  <c r="Y50" i="174" s="1"/>
  <c r="V126" i="49"/>
  <c r="Y40" i="174" s="1"/>
  <c r="V43" i="49"/>
  <c r="V100" i="49" s="1"/>
  <c r="V78" i="49"/>
  <c r="V73" i="49"/>
  <c r="V72" i="49"/>
  <c r="V37" i="49"/>
  <c r="V42" i="49"/>
  <c r="Q78" i="49"/>
  <c r="Q73" i="49"/>
  <c r="Q72" i="49"/>
  <c r="Q125" i="49"/>
  <c r="T41" i="174" s="1"/>
  <c r="Q121" i="49"/>
  <c r="T32" i="174" s="1"/>
  <c r="Q77" i="49"/>
  <c r="Q43" i="49"/>
  <c r="Q100" i="49" s="1"/>
  <c r="Q126" i="49"/>
  <c r="T40" i="174" s="1"/>
  <c r="Q120" i="49"/>
  <c r="T31" i="174" s="1"/>
  <c r="Q131" i="49"/>
  <c r="T49" i="174" s="1"/>
  <c r="Q130" i="49"/>
  <c r="T50" i="174" s="1"/>
  <c r="T51" i="174" s="1"/>
  <c r="Q42" i="49"/>
  <c r="Q37" i="49"/>
  <c r="U47" i="49"/>
  <c r="U103" i="49" s="1"/>
  <c r="U46" i="49"/>
  <c r="U102" i="49" s="1"/>
  <c r="P52" i="49"/>
  <c r="P107" i="49" s="1"/>
  <c r="P54" i="49"/>
  <c r="P109" i="49" s="1"/>
  <c r="P51" i="49"/>
  <c r="P106" i="49" s="1"/>
  <c r="P53" i="49"/>
  <c r="P108" i="49" s="1"/>
  <c r="P50" i="49"/>
  <c r="P105" i="49" s="1"/>
  <c r="M46" i="49"/>
  <c r="M102" i="49" s="1"/>
  <c r="M47" i="49"/>
  <c r="M103" i="49" s="1"/>
  <c r="I53" i="49"/>
  <c r="I108" i="49" s="1"/>
  <c r="I54" i="49"/>
  <c r="I109" i="49" s="1"/>
  <c r="I52" i="49"/>
  <c r="I107" i="49" s="1"/>
  <c r="I50" i="49"/>
  <c r="I105" i="49" s="1"/>
  <c r="I51" i="49"/>
  <c r="I106" i="49" s="1"/>
  <c r="R121" i="49"/>
  <c r="U32" i="174" s="1"/>
  <c r="R54" i="49"/>
  <c r="R109" i="49" s="1"/>
  <c r="R52" i="49"/>
  <c r="R107" i="49" s="1"/>
  <c r="R51" i="49"/>
  <c r="R106" i="49" s="1"/>
  <c r="R50" i="49"/>
  <c r="R105" i="49" s="1"/>
  <c r="R53" i="49"/>
  <c r="R108" i="49" s="1"/>
  <c r="T125" i="49"/>
  <c r="W41" i="174" s="1"/>
  <c r="W42" i="174" s="1"/>
  <c r="S73" i="49"/>
  <c r="S126" i="49"/>
  <c r="V40" i="174" s="1"/>
  <c r="S72" i="49"/>
  <c r="S130" i="49"/>
  <c r="V50" i="174" s="1"/>
  <c r="S121" i="49"/>
  <c r="V32" i="174" s="1"/>
  <c r="S125" i="49"/>
  <c r="V41" i="174" s="1"/>
  <c r="S120" i="49"/>
  <c r="V31" i="174" s="1"/>
  <c r="S37" i="49"/>
  <c r="S78" i="49"/>
  <c r="S77" i="49"/>
  <c r="S42" i="49"/>
  <c r="S131" i="49"/>
  <c r="V49" i="174" s="1"/>
  <c r="S43" i="49"/>
  <c r="S100" i="49" s="1"/>
  <c r="X77" i="49"/>
  <c r="J47" i="49"/>
  <c r="J103" i="49" s="1"/>
  <c r="J46" i="49"/>
  <c r="J102" i="49" s="1"/>
  <c r="J51" i="174" l="1"/>
  <c r="U18" i="174"/>
  <c r="U19" i="174" s="1"/>
  <c r="Y18" i="174"/>
  <c r="N20" i="174"/>
  <c r="N25" i="174" s="1"/>
  <c r="N52" i="174" s="1"/>
  <c r="N53" i="174" s="1"/>
  <c r="N55" i="174" s="1"/>
  <c r="S18" i="174"/>
  <c r="Z18" i="174"/>
  <c r="J18" i="174"/>
  <c r="R18" i="174"/>
  <c r="M20" i="174"/>
  <c r="M25" i="174" s="1"/>
  <c r="M43" i="174" s="1"/>
  <c r="M44" i="174" s="1"/>
  <c r="M46" i="174" s="1"/>
  <c r="K51" i="174"/>
  <c r="I42" i="174"/>
  <c r="Q18" i="174"/>
  <c r="P51" i="174"/>
  <c r="U51" i="174"/>
  <c r="L42" i="174"/>
  <c r="Z51" i="174"/>
  <c r="S51" i="174"/>
  <c r="T20" i="174"/>
  <c r="T25" i="174" s="1"/>
  <c r="T43" i="174" s="1"/>
  <c r="O42" i="174"/>
  <c r="Y51" i="174"/>
  <c r="X42" i="174"/>
  <c r="R33" i="174"/>
  <c r="AA42" i="174"/>
  <c r="T42" i="174"/>
  <c r="N18" i="174"/>
  <c r="AA33" i="174"/>
  <c r="P33" i="174"/>
  <c r="M18" i="174"/>
  <c r="L20" i="174"/>
  <c r="L25" i="174" s="1"/>
  <c r="Y42" i="174"/>
  <c r="T18" i="174"/>
  <c r="V20" i="174"/>
  <c r="V25" i="174" s="1"/>
  <c r="X51" i="174"/>
  <c r="R20" i="174"/>
  <c r="R25" i="174" s="1"/>
  <c r="AA18" i="174"/>
  <c r="AA19" i="174" s="1"/>
  <c r="U20" i="174"/>
  <c r="U25" i="174" s="1"/>
  <c r="J20" i="174"/>
  <c r="J25" i="174" s="1"/>
  <c r="Q20" i="174"/>
  <c r="Q25" i="174" s="1"/>
  <c r="Q42" i="174"/>
  <c r="O33" i="174"/>
  <c r="V33" i="174"/>
  <c r="X18" i="174"/>
  <c r="M33" i="174"/>
  <c r="Z20" i="174"/>
  <c r="Z25" i="174" s="1"/>
  <c r="P20" i="174"/>
  <c r="P25" i="174" s="1"/>
  <c r="O20" i="174"/>
  <c r="O25" i="174" s="1"/>
  <c r="K18" i="174"/>
  <c r="K20" i="174"/>
  <c r="K25" i="174" s="1"/>
  <c r="AA51" i="174"/>
  <c r="N34" i="174"/>
  <c r="V51" i="174"/>
  <c r="P18" i="174"/>
  <c r="T33" i="174"/>
  <c r="M51" i="174"/>
  <c r="L33" i="174"/>
  <c r="I33" i="174"/>
  <c r="N42" i="174"/>
  <c r="X20" i="174"/>
  <c r="X25" i="174" s="1"/>
  <c r="W51" i="174"/>
  <c r="S33" i="174"/>
  <c r="I20" i="174"/>
  <c r="I25" i="174" s="1"/>
  <c r="AA20" i="174"/>
  <c r="AA25" i="174" s="1"/>
  <c r="Q33" i="174"/>
  <c r="V42" i="174"/>
  <c r="U33" i="174"/>
  <c r="S20" i="174"/>
  <c r="S25" i="174" s="1"/>
  <c r="Y20" i="174"/>
  <c r="Y25" i="174" s="1"/>
  <c r="W20" i="174"/>
  <c r="W25" i="174" s="1"/>
  <c r="J33" i="174"/>
  <c r="L51" i="174"/>
  <c r="S42" i="174"/>
  <c r="I51" i="174"/>
  <c r="N33" i="174"/>
  <c r="L18" i="174"/>
  <c r="H68" i="49"/>
  <c r="H116" i="49" s="1"/>
  <c r="H99" i="49"/>
  <c r="K17" i="174" s="1"/>
  <c r="W68" i="49"/>
  <c r="W116" i="49" s="1"/>
  <c r="W99" i="49"/>
  <c r="Z17" i="174" s="1"/>
  <c r="Z19" i="174" s="1"/>
  <c r="R68" i="49"/>
  <c r="R116" i="49" s="1"/>
  <c r="O68" i="49"/>
  <c r="O116" i="49" s="1"/>
  <c r="O99" i="49"/>
  <c r="R17" i="174" s="1"/>
  <c r="N68" i="49"/>
  <c r="N116" i="49" s="1"/>
  <c r="N99" i="49"/>
  <c r="Q17" i="174" s="1"/>
  <c r="Q19" i="174" s="1"/>
  <c r="M68" i="49"/>
  <c r="M116" i="49" s="1"/>
  <c r="M99" i="49"/>
  <c r="P17" i="174" s="1"/>
  <c r="K68" i="49"/>
  <c r="K116" i="49" s="1"/>
  <c r="K99" i="49"/>
  <c r="N17" i="174" s="1"/>
  <c r="S68" i="49"/>
  <c r="S116" i="49" s="1"/>
  <c r="S99" i="49"/>
  <c r="V17" i="174" s="1"/>
  <c r="V19" i="174" s="1"/>
  <c r="J68" i="49"/>
  <c r="J116" i="49" s="1"/>
  <c r="J99" i="49"/>
  <c r="M17" i="174" s="1"/>
  <c r="X68" i="49"/>
  <c r="X116" i="49" s="1"/>
  <c r="G68" i="49"/>
  <c r="G116" i="49" s="1"/>
  <c r="G99" i="49"/>
  <c r="J17" i="174" s="1"/>
  <c r="J19" i="174" s="1"/>
  <c r="Q99" i="49"/>
  <c r="T17" i="174" s="1"/>
  <c r="Q68" i="49"/>
  <c r="Q116" i="49" s="1"/>
  <c r="P68" i="49"/>
  <c r="P116" i="49" s="1"/>
  <c r="P99" i="49"/>
  <c r="S17" i="174" s="1"/>
  <c r="S19" i="174" s="1"/>
  <c r="S26" i="174" s="1"/>
  <c r="S28" i="174" s="1"/>
  <c r="F68" i="49"/>
  <c r="F116" i="49" s="1"/>
  <c r="F99" i="49"/>
  <c r="I17" i="174" s="1"/>
  <c r="I19" i="174" s="1"/>
  <c r="T102" i="49"/>
  <c r="W18" i="174" s="1"/>
  <c r="W19" i="174" s="1"/>
  <c r="W26" i="174" s="1"/>
  <c r="W28" i="174" s="1"/>
  <c r="T68" i="49"/>
  <c r="T116" i="49" s="1"/>
  <c r="I68" i="49"/>
  <c r="I116" i="49" s="1"/>
  <c r="I99" i="49"/>
  <c r="L17" i="174" s="1"/>
  <c r="V68" i="49"/>
  <c r="V116" i="49" s="1"/>
  <c r="V99" i="49"/>
  <c r="Y17" i="174" s="1"/>
  <c r="Y19" i="174" s="1"/>
  <c r="U99" i="49"/>
  <c r="X17" i="174" s="1"/>
  <c r="U68" i="49"/>
  <c r="U116" i="49" s="1"/>
  <c r="L68" i="49"/>
  <c r="L116" i="49" s="1"/>
  <c r="L99" i="49"/>
  <c r="O17" i="174" s="1"/>
  <c r="O19" i="174" s="1"/>
  <c r="N43" i="174" l="1"/>
  <c r="T44" i="174"/>
  <c r="T46" i="174" s="1"/>
  <c r="R19" i="174"/>
  <c r="R26" i="174" s="1"/>
  <c r="R28" i="174" s="1"/>
  <c r="M52" i="174"/>
  <c r="M34" i="174"/>
  <c r="M35" i="174" s="1"/>
  <c r="M37" i="174" s="1"/>
  <c r="Y26" i="174"/>
  <c r="Y28" i="174" s="1"/>
  <c r="I26" i="174"/>
  <c r="I28" i="174" s="1"/>
  <c r="Q26" i="174"/>
  <c r="Q28" i="174" s="1"/>
  <c r="N35" i="174"/>
  <c r="N37" i="174" s="1"/>
  <c r="T34" i="174"/>
  <c r="T35" i="174" s="1"/>
  <c r="T37" i="174" s="1"/>
  <c r="V26" i="174"/>
  <c r="V28" i="174" s="1"/>
  <c r="J26" i="174"/>
  <c r="J28" i="174" s="1"/>
  <c r="M53" i="174"/>
  <c r="M55" i="174" s="1"/>
  <c r="AA26" i="174"/>
  <c r="AA28" i="174" s="1"/>
  <c r="T52" i="174"/>
  <c r="T53" i="174" s="1"/>
  <c r="T55" i="174" s="1"/>
  <c r="M19" i="174"/>
  <c r="M26" i="174" s="1"/>
  <c r="M28" i="174" s="1"/>
  <c r="P19" i="174"/>
  <c r="P26" i="174" s="1"/>
  <c r="P28" i="174" s="1"/>
  <c r="N19" i="174"/>
  <c r="N26" i="174" s="1"/>
  <c r="N28" i="174" s="1"/>
  <c r="T19" i="174"/>
  <c r="T26" i="174" s="1"/>
  <c r="T28" i="174" s="1"/>
  <c r="O26" i="174"/>
  <c r="O28" i="174" s="1"/>
  <c r="Z26" i="174"/>
  <c r="Z28" i="174" s="1"/>
  <c r="R52" i="174"/>
  <c r="R53" i="174" s="1"/>
  <c r="R55" i="174" s="1"/>
  <c r="R43" i="174"/>
  <c r="R44" i="174" s="1"/>
  <c r="R46" i="174" s="1"/>
  <c r="R34" i="174"/>
  <c r="R35" i="174" s="1"/>
  <c r="R37" i="174" s="1"/>
  <c r="X19" i="174"/>
  <c r="X26" i="174" s="1"/>
  <c r="X28" i="174" s="1"/>
  <c r="U43" i="174"/>
  <c r="U44" i="174" s="1"/>
  <c r="U46" i="174" s="1"/>
  <c r="U34" i="174"/>
  <c r="U35" i="174" s="1"/>
  <c r="U37" i="174" s="1"/>
  <c r="U52" i="174"/>
  <c r="U53" i="174" s="1"/>
  <c r="U55" i="174" s="1"/>
  <c r="W34" i="174"/>
  <c r="W35" i="174" s="1"/>
  <c r="W37" i="174" s="1"/>
  <c r="W52" i="174"/>
  <c r="W53" i="174" s="1"/>
  <c r="W55" i="174" s="1"/>
  <c r="W43" i="174"/>
  <c r="W44" i="174" s="1"/>
  <c r="W46" i="174" s="1"/>
  <c r="I34" i="174"/>
  <c r="I35" i="174" s="1"/>
  <c r="I37" i="174" s="1"/>
  <c r="I43" i="174"/>
  <c r="I44" i="174" s="1"/>
  <c r="I46" i="174" s="1"/>
  <c r="I52" i="174"/>
  <c r="I53" i="174" s="1"/>
  <c r="I55" i="174" s="1"/>
  <c r="X34" i="174"/>
  <c r="X35" i="174" s="1"/>
  <c r="X37" i="174" s="1"/>
  <c r="X43" i="174"/>
  <c r="X44" i="174" s="1"/>
  <c r="X46" i="174" s="1"/>
  <c r="X52" i="174"/>
  <c r="X53" i="174" s="1"/>
  <c r="X55" i="174" s="1"/>
  <c r="K19" i="174"/>
  <c r="K26" i="174" s="1"/>
  <c r="K28" i="174" s="1"/>
  <c r="Z43" i="174"/>
  <c r="Z44" i="174" s="1"/>
  <c r="Z46" i="174" s="1"/>
  <c r="Z52" i="174"/>
  <c r="Z53" i="174" s="1"/>
  <c r="Z55" i="174" s="1"/>
  <c r="Z34" i="174"/>
  <c r="Z35" i="174" s="1"/>
  <c r="Z37" i="174" s="1"/>
  <c r="V52" i="174"/>
  <c r="V53" i="174" s="1"/>
  <c r="V55" i="174" s="1"/>
  <c r="V43" i="174"/>
  <c r="V44" i="174" s="1"/>
  <c r="V46" i="174" s="1"/>
  <c r="V34" i="174"/>
  <c r="V35" i="174" s="1"/>
  <c r="V37" i="174" s="1"/>
  <c r="Y43" i="174"/>
  <c r="Y44" i="174" s="1"/>
  <c r="Y46" i="174" s="1"/>
  <c r="Y34" i="174"/>
  <c r="Y35" i="174" s="1"/>
  <c r="Y37" i="174" s="1"/>
  <c r="Y52" i="174"/>
  <c r="Y53" i="174" s="1"/>
  <c r="Y55" i="174" s="1"/>
  <c r="U26" i="174"/>
  <c r="U28" i="174" s="1"/>
  <c r="N44" i="174"/>
  <c r="N46" i="174" s="1"/>
  <c r="O52" i="174"/>
  <c r="O53" i="174" s="1"/>
  <c r="O55" i="174" s="1"/>
  <c r="O34" i="174"/>
  <c r="O35" i="174" s="1"/>
  <c r="O37" i="174" s="1"/>
  <c r="O43" i="174"/>
  <c r="O44" i="174" s="1"/>
  <c r="O46" i="174" s="1"/>
  <c r="Q52" i="174"/>
  <c r="Q53" i="174" s="1"/>
  <c r="Q55" i="174" s="1"/>
  <c r="Q34" i="174"/>
  <c r="Q35" i="174" s="1"/>
  <c r="Q37" i="174" s="1"/>
  <c r="Q43" i="174"/>
  <c r="Q44" i="174" s="1"/>
  <c r="Q46" i="174" s="1"/>
  <c r="L34" i="174"/>
  <c r="L35" i="174" s="1"/>
  <c r="L37" i="174" s="1"/>
  <c r="L52" i="174"/>
  <c r="L53" i="174" s="1"/>
  <c r="L55" i="174" s="1"/>
  <c r="L43" i="174"/>
  <c r="L44" i="174" s="1"/>
  <c r="L46" i="174" s="1"/>
  <c r="AA34" i="174"/>
  <c r="AA35" i="174" s="1"/>
  <c r="AA37" i="174" s="1"/>
  <c r="AA43" i="174"/>
  <c r="AA44" i="174" s="1"/>
  <c r="AA46" i="174" s="1"/>
  <c r="AA52" i="174"/>
  <c r="AA53" i="174" s="1"/>
  <c r="AA55" i="174" s="1"/>
  <c r="K43" i="174"/>
  <c r="K44" i="174" s="1"/>
  <c r="K46" i="174" s="1"/>
  <c r="K34" i="174"/>
  <c r="K35" i="174" s="1"/>
  <c r="K37" i="174" s="1"/>
  <c r="K52" i="174"/>
  <c r="K53" i="174" s="1"/>
  <c r="K55" i="174" s="1"/>
  <c r="L19" i="174"/>
  <c r="L26" i="174" s="1"/>
  <c r="L28" i="174" s="1"/>
  <c r="S52" i="174"/>
  <c r="S53" i="174" s="1"/>
  <c r="S55" i="174" s="1"/>
  <c r="S34" i="174"/>
  <c r="S35" i="174" s="1"/>
  <c r="S37" i="174" s="1"/>
  <c r="S43" i="174"/>
  <c r="S44" i="174" s="1"/>
  <c r="S46" i="174" s="1"/>
  <c r="P52" i="174"/>
  <c r="P53" i="174" s="1"/>
  <c r="P55" i="174" s="1"/>
  <c r="P34" i="174"/>
  <c r="P35" i="174" s="1"/>
  <c r="P37" i="174" s="1"/>
  <c r="P43" i="174"/>
  <c r="P44" i="174" s="1"/>
  <c r="P46" i="174" s="1"/>
  <c r="J43" i="174"/>
  <c r="J44" i="174" s="1"/>
  <c r="J46" i="174" s="1"/>
  <c r="J52" i="174"/>
  <c r="J53" i="174" s="1"/>
  <c r="J55" i="174" s="1"/>
  <c r="J34" i="174"/>
  <c r="J35" i="174" s="1"/>
  <c r="J37" i="174" s="1"/>
</calcChain>
</file>

<file path=xl/sharedStrings.xml><?xml version="1.0" encoding="utf-8"?>
<sst xmlns="http://schemas.openxmlformats.org/spreadsheetml/2006/main" count="471" uniqueCount="359">
  <si>
    <t>Income Tax</t>
  </si>
  <si>
    <t>Debt Costs</t>
  </si>
  <si>
    <t>Equity Return</t>
  </si>
  <si>
    <t>Variable</t>
  </si>
  <si>
    <t xml:space="preserve"> </t>
  </si>
  <si>
    <t>Taxable Income</t>
  </si>
  <si>
    <t>Total Income Tax</t>
  </si>
  <si>
    <t>NA</t>
  </si>
  <si>
    <t>Rates</t>
  </si>
  <si>
    <t>Alberta Electric System Operator</t>
  </si>
  <si>
    <t>Closing Balance</t>
  </si>
  <si>
    <t>Total Revenue Requirement</t>
  </si>
  <si>
    <t>Net Capital Additions</t>
  </si>
  <si>
    <t>Connection Projects</t>
  </si>
  <si>
    <t>Calculation of Estimated Revenue Requirement</t>
  </si>
  <si>
    <t>Description</t>
  </si>
  <si>
    <t>Assumptions</t>
  </si>
  <si>
    <t>Functionalization</t>
  </si>
  <si>
    <t>POD Classification</t>
  </si>
  <si>
    <t>Contribution %</t>
  </si>
  <si>
    <t>For Revenue Requirement Calculation - Common to All TFOs</t>
  </si>
  <si>
    <t>Forecast</t>
  </si>
  <si>
    <t>Cost of Debt (%)</t>
  </si>
  <si>
    <t>Federal Corporate Tax Rate (%)</t>
  </si>
  <si>
    <t>Provincial Corporate Tax Rate (%)</t>
  </si>
  <si>
    <t>Total Corporate Tax Rate (%)</t>
  </si>
  <si>
    <t>Operating Expense Factor (%)</t>
  </si>
  <si>
    <t>Ancillary Services Costs</t>
  </si>
  <si>
    <t>Point of Delivery (POD) (%)</t>
  </si>
  <si>
    <t>Bulk System Classification</t>
  </si>
  <si>
    <t>Energy (%)</t>
  </si>
  <si>
    <t>Billing Capacity (%)</t>
  </si>
  <si>
    <t>Customer</t>
  </si>
  <si>
    <t>Equity Ratio (%)</t>
  </si>
  <si>
    <t>POD - Contributions</t>
  </si>
  <si>
    <t>POS - Contributions</t>
  </si>
  <si>
    <t>Operating Expense</t>
  </si>
  <si>
    <t>After-Tax Return on Equity (%)</t>
  </si>
  <si>
    <t>Total Ancillary Services Costs</t>
  </si>
  <si>
    <t>Long-Term Projection of AESO Rates</t>
  </si>
  <si>
    <t>Operating Reserves (OR)</t>
  </si>
  <si>
    <t>Revenue Requirement (nominal $ million)</t>
  </si>
  <si>
    <t>Wires - Regional System</t>
  </si>
  <si>
    <t>Wires - Point of Delivery (POD)</t>
  </si>
  <si>
    <t>Non-Wires Costs</t>
  </si>
  <si>
    <t>Load Shed Service for Import (LSSi)</t>
  </si>
  <si>
    <t>Forecast AESO Costs - $ million nominal (Reference: AESO Board Decisions and Fixed Escalation Thereafter)</t>
  </si>
  <si>
    <t>Cost of Capital (%)</t>
  </si>
  <si>
    <t>Regional System (%)</t>
  </si>
  <si>
    <t>Voltage Control (TMR)</t>
  </si>
  <si>
    <t>Other System Support Services</t>
  </si>
  <si>
    <t>Bulk System Charge</t>
  </si>
  <si>
    <t>Regional System Charge</t>
  </si>
  <si>
    <t>Point of Delivery Charge</t>
  </si>
  <si>
    <t>Coincident Demand</t>
  </si>
  <si>
    <t>Customer (substation fraction)</t>
  </si>
  <si>
    <t>Flat Usage (metered energy)</t>
  </si>
  <si>
    <t>Non-Coincident Demand (Billing Capacity)</t>
  </si>
  <si>
    <t>Operating Reserve Charge</t>
  </si>
  <si>
    <t>Voltage Control Charge</t>
  </si>
  <si>
    <t>Other System Support Services Charge</t>
  </si>
  <si>
    <t>Non-Coincident Demand (highest demand)</t>
  </si>
  <si>
    <t>Billing Determinants</t>
  </si>
  <si>
    <t>Projection</t>
  </si>
  <si>
    <t>Slope (m)</t>
  </si>
  <si>
    <t>Constant (b)</t>
  </si>
  <si>
    <t>y = mx + b</t>
  </si>
  <si>
    <t>Linear Best Fit</t>
  </si>
  <si>
    <t>Equation</t>
  </si>
  <si>
    <t>Metered Demand (MW)</t>
  </si>
  <si>
    <t>Load Factor</t>
  </si>
  <si>
    <t>Monthly Transmission Bill ($/month)</t>
  </si>
  <si>
    <t>After-Tax Weighted Cost of Capital (%)</t>
  </si>
  <si>
    <t>Annual Costs (nominal $ million)</t>
  </si>
  <si>
    <t>Capital Expenditure (Excluding Financing)</t>
  </si>
  <si>
    <t>Capitalized Costs Added to Rate Base</t>
  </si>
  <si>
    <t>Debt Cost</t>
  </si>
  <si>
    <t>Annual Revenue Requirement</t>
  </si>
  <si>
    <t>Gross Plant (nominal $ million)</t>
  </si>
  <si>
    <t>Opening Balance</t>
  </si>
  <si>
    <t>Mid-Year Balance</t>
  </si>
  <si>
    <t xml:space="preserve">Accumulated Depreciation (nominal $ million) </t>
  </si>
  <si>
    <t>Mid-Year Gross Plant Balance</t>
  </si>
  <si>
    <t>Mid-Year Rate Base</t>
  </si>
  <si>
    <t>Income Tax (nominal $ million)</t>
  </si>
  <si>
    <t>Rate Base (nominal $ million)</t>
  </si>
  <si>
    <t>Net Income (Equity Return)</t>
  </si>
  <si>
    <t>Annual Depreciation Expense</t>
  </si>
  <si>
    <t>Capital Expenditures (Excluding Financing)</t>
  </si>
  <si>
    <t>Capital Maintenance and Replacement</t>
  </si>
  <si>
    <t>No-Cost Capital</t>
  </si>
  <si>
    <t>Metered Energy - All Hours (GWh)</t>
  </si>
  <si>
    <t>Metered Energy Charge ($/MWh)</t>
  </si>
  <si>
    <t>Billing Capacity Charge ($/MW/month)</t>
  </si>
  <si>
    <t>Coincident Demand Charge ($/MW/month)</t>
  </si>
  <si>
    <t>Substation Fraction Charge ($/month)</t>
  </si>
  <si>
    <t>First (7.5×SF) MW of BC ($/MW/month)</t>
  </si>
  <si>
    <t>Next (9.5×SF) MW of BC ($/MW/month)</t>
  </si>
  <si>
    <t>All Remaining MW of BC ($/MW/month)</t>
  </si>
  <si>
    <t>Voltage Control Charge ($/MWh)</t>
  </si>
  <si>
    <t>Other System Support Services ($/MW/month)</t>
  </si>
  <si>
    <t>Alberta Pool Price ($/MWh)</t>
  </si>
  <si>
    <t>Sheet(s)</t>
  </si>
  <si>
    <t>Bill Projection</t>
  </si>
  <si>
    <t>Coincident Demand (%)</t>
  </si>
  <si>
    <t>Adjusted DTS Energy (GWh)</t>
  </si>
  <si>
    <t>Weighted Inflation (65% AWE and 35% CPI)</t>
  </si>
  <si>
    <t>Increase (Decrease) to Pool Price (%)</t>
  </si>
  <si>
    <t>Adjusted Alberta Pool Price ($/MWh)</t>
  </si>
  <si>
    <t>Alberta Consumer Price Index (CPI) (% Change)</t>
  </si>
  <si>
    <t>Adjusted Alberta AWE (% Change)</t>
  </si>
  <si>
    <t>Adjusted Alberta CPI (% Change)</t>
  </si>
  <si>
    <t>Aggregate Annual Revenue Requirement Allocated to DTS</t>
  </si>
  <si>
    <t>Rate DTS Revenue Offsets</t>
  </si>
  <si>
    <t>Operating Reserves</t>
  </si>
  <si>
    <t>Black Start</t>
  </si>
  <si>
    <t>Transmission Must-Run</t>
  </si>
  <si>
    <t>Other Industry and AESO G&amp;A</t>
  </si>
  <si>
    <t>Alberta Average Weekly Earnings (AWE)</t>
  </si>
  <si>
    <t>Alberta Consumer Price Index (CPI)</t>
  </si>
  <si>
    <t>Transmission Inflation Factor</t>
  </si>
  <si>
    <t>Alberta AWE (% Change)</t>
  </si>
  <si>
    <t>Increase (Decrease) to AWE (%)</t>
  </si>
  <si>
    <t>Increase (Decrease) to CPI (%)</t>
  </si>
  <si>
    <t>Increase (Decrease) to Growth (%)</t>
  </si>
  <si>
    <t>Sensitivity Analysis Adjustment to Cost of AESO Long-term Transmission Plan Projects</t>
  </si>
  <si>
    <t>Increase (Decrease) to Costs (%)</t>
  </si>
  <si>
    <t>Competitive Process</t>
  </si>
  <si>
    <t>Wires Costs</t>
  </si>
  <si>
    <t>Total Wires Costs</t>
  </si>
  <si>
    <t>Total Rate DTS Revenue Requirement</t>
  </si>
  <si>
    <t>Average Transmission Rate Projection</t>
  </si>
  <si>
    <t>AESO Energy Market Trading Charge</t>
  </si>
  <si>
    <t>Trading Charge ($/MWh)</t>
  </si>
  <si>
    <t>Used to escalate other industry and AESO G&amp;A costs, AESO energy market trading charge, and retail administration costs</t>
  </si>
  <si>
    <t>Mid-Year Accumulated Depreciation</t>
  </si>
  <si>
    <t>Average Transmission Rate ($/MWh)</t>
  </si>
  <si>
    <t>Annual Capital Expenditures (nominal $ million)</t>
  </si>
  <si>
    <t>Operating Reserves Costs per Unit Projected as Function of Pool Price</t>
  </si>
  <si>
    <t>Regional System Classification</t>
  </si>
  <si>
    <t>Increase (Decrease) to Costs of AESO Long-term Transmission Plan Projects for Sensitivity Analysis</t>
  </si>
  <si>
    <t>Shaded cells generally denote recorded or actual values or compliance filing amounts (rather than estimates or assumptions)</t>
  </si>
  <si>
    <t>Next (23×SF) MW of BC ($/MW/month)</t>
  </si>
  <si>
    <t>First (7.5×SF) MW</t>
  </si>
  <si>
    <t>Next (9.5×SF) MW</t>
  </si>
  <si>
    <t>Next (23×SF) MW</t>
  </si>
  <si>
    <t>All Remaining MW</t>
  </si>
  <si>
    <t>First (7.5×SF) MW of Billing Capacity</t>
  </si>
  <si>
    <t>Next (9.5×SF) MW of Billing Capacity</t>
  </si>
  <si>
    <t>Next (23×SF) MW of Billing Capacity</t>
  </si>
  <si>
    <t>All Remaining MW of Billing Capacity</t>
  </si>
  <si>
    <t>Total Billing Capacity (MW-months)</t>
  </si>
  <si>
    <t>First (7.5×SF) MW of Bill Cap (MW-months)</t>
  </si>
  <si>
    <t>Next (9.5×SF) MW of Bill Cap (MW-months)</t>
  </si>
  <si>
    <t>Next (23×SF) MW of Bill Cap (MW-months)</t>
  </si>
  <si>
    <t>All Remaining MW of Bill Cap (MW-months)</t>
  </si>
  <si>
    <t>Highest Metered Demand (MW-months)</t>
  </si>
  <si>
    <t>Rate Design Parameters (Reference: AESO Approved, Applied for and Projected)</t>
  </si>
  <si>
    <t>Depreciation Rate - Transmission Plant (%)</t>
  </si>
  <si>
    <t>Depreciation Rate - All Property (%)</t>
  </si>
  <si>
    <t>Varying Usage (energy × % × pool price)</t>
  </si>
  <si>
    <t>Market Participants (customers×SF-months)</t>
  </si>
  <si>
    <t>Operating Reserve Charge (MWh × pool price × %)</t>
  </si>
  <si>
    <t>Scope</t>
  </si>
  <si>
    <t>Inputs and Assumptions</t>
  </si>
  <si>
    <t>growth, and other factors are listed primarily on the “Assumptions” sheet with some on other sheets of the</t>
  </si>
  <si>
    <t>workbook. Many of the assumptions are from sources external to the AESO and, although they are considered</t>
  </si>
  <si>
    <t>reasonable, the AESO has limited visibility of the accuracy or details of such assumptions.</t>
  </si>
  <si>
    <t>Outputs and Results</t>
  </si>
  <si>
    <t>those rows show how the different components of Rate DTS of the AESO’s tariff are projected to change over</t>
  </si>
  <si>
    <t>•</t>
  </si>
  <si>
    <t>on the “Assumptions” sheet. The impact will be reflected on the “Rates” sheet and elsewhere in the workbook.</t>
  </si>
  <si>
    <t>Accuracy and Limitations</t>
  </si>
  <si>
    <t>Individual Worksheets</t>
  </si>
  <si>
    <t>The AESO bears no responsibility for the use of information in this workbook by market participants or other</t>
  </si>
  <si>
    <t>below and includes brief descriptions of each sheet’s contents. Although different stakeholders may be interested in</t>
  </si>
  <si>
    <t>Where projections in this workbook include costs other than transmission, such as in projections of the delivered</t>
  </si>
  <si>
    <t>aggregate, based on current information. The AESO estimates that the long-term transmission rates projected in the</t>
  </si>
  <si>
    <t>workbook have a level of accuracy of no more than ±30%. In particular, the AESO continuously reviews and adjusts</t>
  </si>
  <si>
    <t>its transmission plan to reflect changes in forecasts, locations of new load and generation, and changing technology,</t>
  </si>
  <si>
    <t>among other factors. Such on-going adjustments to the transmission plan will be reflected in the actual transmission</t>
  </si>
  <si>
    <t>rates applied for and approved by the Alberta Utilities Commission.</t>
  </si>
  <si>
    <t>Source: Statistics Canada Table 326-0020, Data Vector V41692327, and Conference Board of Canada Data Vector RPCPIA</t>
  </si>
  <si>
    <t>Source: Statistics Canada Table 281-0063, Data Vector V79311387, and Conference Board of Canada Data Vector RLAWWIA</t>
  </si>
  <si>
    <t>Reliability Services from BC</t>
  </si>
  <si>
    <t>Transmission Constraint Rebalancing (TCR)</t>
  </si>
  <si>
    <t xml:space="preserve">   Reliability Services from BC</t>
  </si>
  <si>
    <t xml:space="preserve">   Transmission Constraint Rebalancing (TCR)</t>
  </si>
  <si>
    <t>Transmission Constraint Rebalancing Charge</t>
  </si>
  <si>
    <t>Transmission Constraint Rebalancing Charge (MWh × pool price × %)</t>
  </si>
  <si>
    <t>MainOutlook</t>
  </si>
  <si>
    <t>Long-term Transmission Plan Capital Expenditure</t>
  </si>
  <si>
    <t>Escalated Adjusted AESO Long-term Transmission Plan Capital Expenditure - nominal $</t>
  </si>
  <si>
    <t>Scenario</t>
  </si>
  <si>
    <t>Transmission Connected  Industrial Example Consumer - Monthly Bills ($/month)</t>
  </si>
  <si>
    <t>Load Characteristics of Example Transmission Connected Industrial Consumer</t>
  </si>
  <si>
    <t>Projected monthly bill for example transmission connected industrial consumer is calculated on the</t>
  </si>
  <si>
    <t>“Bill Projection” sheet using the projected rates on the “Rates” sheet mentioned above. At the top of the</t>
  </si>
  <si>
    <t>Energy costs may vary from hour to hour or month to month, or may be fixed for a multi-year period through a</t>
  </si>
  <si>
    <t>contract with a retailer. In such cases energy costs will be higher or lower than the averages projected in the</t>
  </si>
  <si>
    <t>Existing</t>
  </si>
  <si>
    <t>Estimated Revenue Requirement Assuming Capital Expenditure Goes Into Rate Base Immediately</t>
  </si>
  <si>
    <t>MainOutlook - Capital Maintenance</t>
  </si>
  <si>
    <t>Bulk System (%)</t>
  </si>
  <si>
    <t>TFOs</t>
  </si>
  <si>
    <t>Estimated Revenue Requirement for Connection Projects, Capital Maintenance and Replacement</t>
  </si>
  <si>
    <t>Annual Year-Over-Year Load Growth (%)</t>
  </si>
  <si>
    <t>POD - Greenfield</t>
  </si>
  <si>
    <t>POD - Upgrade</t>
  </si>
  <si>
    <t>POS - Greenfield and Upgrade</t>
  </si>
  <si>
    <t>Existing Assets</t>
  </si>
  <si>
    <t>Offset</t>
  </si>
  <si>
    <t>Contributions</t>
  </si>
  <si>
    <t>Working Capital</t>
  </si>
  <si>
    <t>Wires - Bulk System</t>
  </si>
  <si>
    <t>Transmission Constraint Rebalacing (TCR) Charge</t>
  </si>
  <si>
    <t>OR costs ($ million)</t>
  </si>
  <si>
    <t>Average pool price ($/MWh)</t>
  </si>
  <si>
    <t>DTS energy (GWh)</t>
  </si>
  <si>
    <t xml:space="preserve">Average OR rate ($/MWh) </t>
  </si>
  <si>
    <t>Forecast Annual Demand Transmission Service (DTS) Load Volumes (Reference: AESO 2019 Long-term Outlook (LTO) Load Forecast)</t>
  </si>
  <si>
    <t>Intra-regional %</t>
  </si>
  <si>
    <t>Inter-regional %</t>
  </si>
  <si>
    <t>Transmission Service Benefits %</t>
  </si>
  <si>
    <t>Energy and Ancillary Services Markets Benefits %</t>
  </si>
  <si>
    <t>Functionalized Annual Revenue Requirement Allocated to DTS - Current</t>
  </si>
  <si>
    <t>Inter-regional charge ($/MW)</t>
  </si>
  <si>
    <t>Intra-regional charge ($/MW)</t>
  </si>
  <si>
    <t>Transmission Service Benefit Charge ($/MW)</t>
  </si>
  <si>
    <t>Energy and Ancillary Services Markets Benefit Charge ($/MWh)</t>
  </si>
  <si>
    <t>Coincident with network Metered Demand (MW-months)</t>
  </si>
  <si>
    <t>Coincident with region Metered Demand (MW-months)</t>
  </si>
  <si>
    <t>Coincident with area Metered Demand (MW-months)</t>
  </si>
  <si>
    <t>AESO Long-term Transmission Plan Capital Expenditure - 2020 $</t>
  </si>
  <si>
    <t>Adjusted AESO Long-term Transmission Plan Capital Expenditure - 2020 $</t>
  </si>
  <si>
    <t>Cumulative Transmission Inflation (% From 2020)</t>
  </si>
  <si>
    <t>Post 2024</t>
  </si>
  <si>
    <t>Cumulative Alberta AWE (% From 2020)</t>
  </si>
  <si>
    <t>Cumulative Alberta CPI (% From 2020)</t>
  </si>
  <si>
    <t>DTS Energy (GWh)</t>
  </si>
  <si>
    <t>For discussion purposes</t>
  </si>
  <si>
    <t>Used to escalate costs of LTP projects, connection projects, TFO capital maintenance and renewal projects, TFO O&amp;M on existing assets, most AESO revenue requirement components (non wires, black start, TMR, load shed service, and Rate DTS offsets)</t>
  </si>
  <si>
    <t>Total Cost of LTP Projects ($2020 million)</t>
  </si>
  <si>
    <t>Adjusted Cost of LTP Projects ($2020 million)</t>
  </si>
  <si>
    <t>Rate Design Parameters - Option 1 - Cost basis</t>
  </si>
  <si>
    <t>Rate Design Parameters - Option 2 - Benefit basis</t>
  </si>
  <si>
    <t>Introduction</t>
  </si>
  <si>
    <t>LTP20Cost</t>
  </si>
  <si>
    <t>LTP20RevReq</t>
  </si>
  <si>
    <t>Calculates revenue requirement for capital expenditure on LTP20Cost sheet</t>
  </si>
  <si>
    <t>Contract Capacity (MW)</t>
  </si>
  <si>
    <t xml:space="preserve">Coincidence Factor </t>
  </si>
  <si>
    <t>with network peak load</t>
  </si>
  <si>
    <t>with regional peak load</t>
  </si>
  <si>
    <t>with area peak load</t>
  </si>
  <si>
    <t xml:space="preserve">    Point of Delivery Charge ($/month)</t>
  </si>
  <si>
    <t xml:space="preserve">    Operating Reserve Charge ($/month)</t>
  </si>
  <si>
    <t xml:space="preserve">    Transmission Constraint Rebalancing Charge ($/month)</t>
  </si>
  <si>
    <t xml:space="preserve">    Voltage Control Charge ($/month)</t>
  </si>
  <si>
    <t xml:space="preserve">    Other System Support Services Charge ($/month)</t>
  </si>
  <si>
    <t xml:space="preserve">    Regional System Charge ($/month)</t>
  </si>
  <si>
    <t xml:space="preserve">    Bulk System Charge ($/month)</t>
  </si>
  <si>
    <t>Other Subtotal ($/month)</t>
  </si>
  <si>
    <t>Network Wires Subtotal ($/month)</t>
  </si>
  <si>
    <t xml:space="preserve">    Inter-regional Cost Charge ($/month)</t>
  </si>
  <si>
    <t xml:space="preserve">    Intra-regional Cost Charge ($/month)</t>
  </si>
  <si>
    <t xml:space="preserve">    Energy and Ancillary Services Markets Benefits Charge ($/month)</t>
  </si>
  <si>
    <t xml:space="preserve">    Transmission Service Benefits Charge ($/month)</t>
  </si>
  <si>
    <t xml:space="preserve">    Network Cost Charge ($/month)</t>
  </si>
  <si>
    <t>Monthly Energy Bill ($/month)</t>
  </si>
  <si>
    <t>Delivered Electricity Bill ($/month)</t>
  </si>
  <si>
    <t>This version of the Projection workbook includes costs and in-service dates for the transmission projects included in the</t>
  </si>
  <si>
    <r>
      <t xml:space="preserve">This Projection workbook provides a long-term projection of </t>
    </r>
    <r>
      <rPr>
        <i/>
        <sz val="10"/>
        <rFont val="Arial"/>
        <family val="2"/>
      </rPr>
      <t>average</t>
    </r>
    <r>
      <rPr>
        <sz val="10"/>
        <rFont val="Arial"/>
        <family val="2"/>
      </rPr>
      <t xml:space="preserve"> transmission rates and average transmission</t>
    </r>
  </si>
  <si>
    <t>service will be as approved by the Alberta Utilities Commission or as contracted for with a retailer.</t>
  </si>
  <si>
    <t>The data and analysis presented in the Projection workbook represents the AESO’s updated projection of the long-term</t>
  </si>
  <si>
    <t>Any long-term projection is based on assumptions. In the Projection workbook, assumptions about future costs, load</t>
  </si>
  <si>
    <t>The Projection workbook contains a large amount of data and analysis. A list of the sheets in the workbook is provided</t>
  </si>
  <si>
    <t>different aspects of the Projection workbook, the following features may be of broader interest.</t>
  </si>
  <si>
    <t>To examine the impact of changes to any of the assumptions in the Projection workbook, the assumptions can be</t>
  </si>
  <si>
    <t>adjusted on the “Assumptions” sheet. For example, the Projection workbook uses a forecast of the Alberta Consumer</t>
  </si>
  <si>
    <t>The AESO considers that the transmission costs and rates projected in the Projection workbook are reasonable in</t>
  </si>
  <si>
    <t xml:space="preserve">cost of electricity, the level of accuracy may be no more than ±50%. Although the rates projected in the Projection </t>
  </si>
  <si>
    <t>stakeholders. Stakeholders may use this Projection workbook for their own purposes and do so at their own risk.</t>
  </si>
  <si>
    <t>The sheets in the Projection workbook contain the following information:</t>
  </si>
  <si>
    <t>The projected transmission rates appear on the “Rates” sheet in the workbook, at rows 95-131. The values in</t>
  </si>
  <si>
    <t>“Bill Projection” sheet, at rows 8-11, the load characteristics of the example consumer can be adjusted. For</t>
  </si>
  <si>
    <t>coincidence factor of 85% with network peak load (meaning that 85% of its load is on-line coincident with monthly</t>
  </si>
  <si>
    <t>network peak demand). Those values can be changed to represent different load characteristics (in cells C8, F8-F11,</t>
  </si>
  <si>
    <t>Bill Charts</t>
  </si>
  <si>
    <t>Charts of long-term projection of monthly network wires bill, total transmission bill, and</t>
  </si>
  <si>
    <t>Long-term projection of rates under current and preliminary rate design options</t>
  </si>
  <si>
    <t>TFO existing assets</t>
  </si>
  <si>
    <t>TFOs capital expenditures not included in Long-term Transmission Plan</t>
  </si>
  <si>
    <t xml:space="preserve">2020 Long-term Transmission Plan Capital Expenditure </t>
  </si>
  <si>
    <t>2020-2024</t>
  </si>
  <si>
    <t>LTP Project Costs (From “LTP20Cost” Sheet)</t>
  </si>
  <si>
    <t>Forecast Assets</t>
  </si>
  <si>
    <t>Shaded cells denote assumptions that can be varied to measure sensitivity</t>
  </si>
  <si>
    <t>and energy cost of electricity for transmission connected customer in Alberta under the current and preliminary rate</t>
  </si>
  <si>
    <t xml:space="preserve">design options developed by the AESO. Actual charges for transmission and other components of electric </t>
  </si>
  <si>
    <r>
      <rPr>
        <i/>
        <sz val="10"/>
        <rFont val="Arial"/>
        <family val="2"/>
      </rPr>
      <t>2020 Long-term Transmission Plan</t>
    </r>
    <r>
      <rPr>
        <sz val="10"/>
        <rFont val="Arial"/>
        <family val="2"/>
      </rPr>
      <t xml:space="preserve"> posted by the AESO in January 2020, in aggregate.</t>
    </r>
  </si>
  <si>
    <t>The workbook also includes projections of other costs incurred by transmission facility owners (TFOs) as well as</t>
  </si>
  <si>
    <t xml:space="preserve">other costs (such as the cost of operating reserves) recovered through the AESO’s tariff. Finally, the workbook </t>
  </si>
  <si>
    <t>includes cost of energy to provide additional context for the cost of transmission.</t>
  </si>
  <si>
    <t>Shaded cells denote assumptions that can be varied to reflect consumer load characteristics</t>
  </si>
  <si>
    <t>Preliminary rates and bill projections</t>
  </si>
  <si>
    <t>Conceptual</t>
  </si>
  <si>
    <t>Refine costs</t>
  </si>
  <si>
    <t>Add rate classes and allocate costs</t>
  </si>
  <si>
    <t>Add lower level of service</t>
  </si>
  <si>
    <t>Anticipate consumer behavior and create low/likely/high scenarios</t>
  </si>
  <si>
    <t>Project per consumer bills</t>
  </si>
  <si>
    <t>Bill shock mitigation plan for eligible consumers</t>
  </si>
  <si>
    <t>Finalize rates (and bills)</t>
  </si>
  <si>
    <t>Review rider and deferral account reconciliation impacts</t>
  </si>
  <si>
    <t>Revenue Requirement of Long-term Transmission Plan Capital Expenditure</t>
  </si>
  <si>
    <t>Version 1.0-Conceptual dated March 12, 2020</t>
  </si>
  <si>
    <t>Inflation Factors (Reference: 2018 ISO Tariff Update Application, updated February 2020)</t>
  </si>
  <si>
    <t>Forecast Pool Price - Nominal $/MWh (Reference: Quarterly Forecast Update, EDC Associates Ltd. dated 2020-02-14</t>
  </si>
  <si>
    <t>Inter-regional Charge ($/MW)</t>
  </si>
  <si>
    <t>Point-of-Delivery (POD) and Point-of-Supply (POS) Capital Additions - rough long-term average estimate - 2020 $ million (Reference: AESO Construction Contribution Database)</t>
  </si>
  <si>
    <t>Forecast Capital Maintenance - rough short-term average estimate - 2020$ million (Reference: TFOs)</t>
  </si>
  <si>
    <t>Classified Costs (nominal $ million) - Current</t>
  </si>
  <si>
    <t>Functionalized Annual Revenue Requirement Allocated to DTS - Option 1 - Cost (only changes from current)</t>
  </si>
  <si>
    <t>Functionalized Annual Revenue Requirement Allocated to DTS - Option 2 - Benefit (only changes from current)</t>
  </si>
  <si>
    <t>Rate DTS - Current (nominal $/unit)</t>
  </si>
  <si>
    <t>Rates - Option 1 - cost basis (replaces bulk and regional charges in Current, rest remains same)</t>
  </si>
  <si>
    <t>Rates - Option 2 - benefit basis (replaces bulk and regional charges in Current, rest remains same)</t>
  </si>
  <si>
    <t>Rates - Option 3 - Cost and benefit basis (replaces bulk and regional charges in Current, rest remains same)</t>
  </si>
  <si>
    <t>Long-Term Projection of "Bulk and Regional" i.e. Network Wires Costs, Total Transmission Costs, and Delivered Electricity Costs</t>
  </si>
  <si>
    <t>2032 value inflated by the Conference Board of Canada inflation rate to create 2033-2039 values</t>
  </si>
  <si>
    <t>The Alberta Electric System Operator (AESO) has developed this rates and bill projection ("Projection") workbook.</t>
  </si>
  <si>
    <t>cost of transmission over the 2020-2039 period under current and preliminary rate design options developed by the AESO.</t>
  </si>
  <si>
    <t>time for current and preliminary rate design options developed by the AESO.</t>
  </si>
  <si>
    <t xml:space="preserve">example, the example consumer has metered demand of 30 MW, a load factor of 80%, and a </t>
  </si>
  <si>
    <t>and I8). The monthly bills under current and preliminary rate design options developed by the AESO for the entered</t>
  </si>
  <si>
    <t>load characteristics are calculated at rows 14-55 on the “Bill Projection” sheet. Note that the projected costs for the</t>
  </si>
  <si>
    <t>industrial example consumers assume transmission connections and therefore do not include any distribution-related</t>
  </si>
  <si>
    <t xml:space="preserve"> or retailing-related costs.</t>
  </si>
  <si>
    <t xml:space="preserve">The average network wires, transmission, and delivered electricity bills under current and preliminary rate design </t>
  </si>
  <si>
    <t>options developed by the AESO for the example consumer are illustrated in charts 1, 2 and 3 respectively the</t>
  </si>
  <si>
    <t>“Bill Charts” sheet.</t>
  </si>
  <si>
    <t>Price Index from The Conference Board of Canada, at row 58 on the “Assumptions” sheet. The index averages</t>
  </si>
  <si>
    <t>about a 2.0% increase per year. That index can be increased or decreased by entering an adjustment in cell D59</t>
  </si>
  <si>
    <t>workbook are reasonable in aggregate, individual cost components, or costs for individual projects may have a</t>
  </si>
  <si>
    <t>level of accuracy of no more than ±50%.</t>
  </si>
  <si>
    <t>workbook.</t>
  </si>
  <si>
    <t>Long-term projection of monthly network wires bill, total transmission bill, and delivered</t>
  </si>
  <si>
    <t>electricity bill under current and preliminary rate design options developed by the AESO</t>
  </si>
  <si>
    <t xml:space="preserve">delivered electricity bill (based on data on "Bill Projection" sheet) under current and preliminary </t>
  </si>
  <si>
    <t>rate design options developed by the AESO</t>
  </si>
  <si>
    <t>Above projected amounts are aggregated from multiple projects. In practice all projects may not be executed at the same time so the associated capital expenditures may be spread over time somewhat.</t>
  </si>
  <si>
    <t>Bill Charts for example consumer under current and preliminary rate design options developed by the AESO</t>
  </si>
  <si>
    <t>Version #</t>
  </si>
  <si>
    <t>Description of additions made to last version to create this version</t>
  </si>
  <si>
    <t>Monthly Bill - current tariff ($/month)</t>
  </si>
  <si>
    <t>Monthly Bill - Option 1 - Cost basis ($/month)</t>
  </si>
  <si>
    <t>Monthly Bill - Option 2 - Benefit basis ($/month)</t>
  </si>
  <si>
    <t>Monthly Bill - Option 3 - Cost and benefit basis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</si>
</sst>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
    <numFmt numFmtId="168" formatCode="_(* #,##0_);_(* \(#,##0\);_(* &quot;-&quot;??_);_(@_)"/>
    <numFmt numFmtId="169" formatCode="_(&quot;$&quot;* #,##0.0_);_(&quot;$&quot;* \(#,##0.0\);_(&quot;$&quot;* &quot;-&quot;?_);_(@_)"/>
    <numFmt numFmtId="170" formatCode="0.0000"/>
    <numFmt numFmtId="171" formatCode="#,##0.0_);\(#,##0.0\)"/>
    <numFmt numFmtId="172" formatCode="#,##0.0_);\(#,##0.0\);&quot;-&quot;_0_)"/>
    <numFmt numFmtId="173" formatCode="#,##0.00_);\(#,##0.00\);&quot;-&quot;_0_0_)"/>
    <numFmt numFmtId="174" formatCode="#,##0_);\(#,##0\);@_)"/>
    <numFmt numFmtId="175" formatCode="0.0%_);\(0.0%\);&quot;-&quot;_0_%_);@_)"/>
    <numFmt numFmtId="176" formatCode="_(* #,##0.0_);_(* \(#,##0.0\);_(* &quot;-&quot;??_);_(@_)"/>
    <numFmt numFmtId="177" formatCode="0.00%_);\(0.00%\);&quot;-&quot;_0_0_%_);@_)"/>
    <numFmt numFmtId="178" formatCode="0.00%_);\(0.00%\);@_)"/>
    <numFmt numFmtId="179" formatCode="0.0%_);\(0.0%\);@_)"/>
    <numFmt numFmtId="180" formatCode="#,##0.000_);\(#,##0.000\)"/>
    <numFmt numFmtId="181" formatCode="&quot;$&quot;#,##0_);\(&quot;$&quot;#,##0\);&quot;-&quot;_)"/>
    <numFmt numFmtId="182" formatCode="&quot;LTP15-&quot;00"/>
    <numFmt numFmtId="183" formatCode="#,##0.000_);\(#,##0.000\);&quot;-&quot;_0_0_)"/>
    <numFmt numFmtId="184" formatCode="#,##0_);\(#,##0\);&quot;-&quot;_0_)"/>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Narrow"/>
      <family val="2"/>
    </font>
    <font>
      <b/>
      <sz val="10"/>
      <name val="Arial"/>
      <family val="2"/>
    </font>
    <font>
      <i/>
      <sz val="10"/>
      <name val="Arial"/>
      <family val="2"/>
    </font>
    <font>
      <sz val="10"/>
      <color theme="1"/>
      <name val="Arial"/>
      <family val="2"/>
    </font>
    <font>
      <b/>
      <sz val="10"/>
      <color theme="1"/>
      <name val="Arial"/>
      <family val="2"/>
    </font>
    <font>
      <b/>
      <sz val="10"/>
      <color theme="0"/>
      <name val="Arial"/>
      <family val="2"/>
    </font>
    <font>
      <b/>
      <sz val="10"/>
      <color indexed="43"/>
      <name val="Arial"/>
      <family val="2"/>
    </font>
    <font>
      <sz val="10"/>
      <color indexed="9"/>
      <name val="Arial"/>
      <family val="2"/>
    </font>
    <font>
      <sz val="11"/>
      <color theme="1"/>
      <name val="Arial"/>
      <family val="2"/>
    </font>
    <font>
      <b/>
      <i/>
      <sz val="10"/>
      <color theme="1"/>
      <name val="Arial"/>
      <family val="2"/>
    </font>
    <font>
      <i/>
      <sz val="10"/>
      <color theme="1"/>
      <name val="Arial"/>
      <family val="2"/>
    </font>
    <font>
      <b/>
      <i/>
      <sz val="10"/>
      <name val="Arial"/>
      <family val="2"/>
    </font>
    <font>
      <sz val="10"/>
      <color theme="0"/>
      <name val="Arial"/>
      <family val="2"/>
    </font>
    <font>
      <sz val="10"/>
      <name val="Arial"/>
      <family val="2"/>
    </font>
    <font>
      <sz val="10"/>
      <color rgb="FFFF0000"/>
      <name val="Arial"/>
      <family val="2"/>
    </font>
    <font>
      <sz val="10"/>
      <name val="Calibri"/>
      <family val="2"/>
    </font>
    <font>
      <u/>
      <sz val="10"/>
      <color indexed="12"/>
      <name val="Arial"/>
      <family val="2"/>
    </font>
    <font>
      <b/>
      <i/>
      <sz val="9"/>
      <color theme="1"/>
      <name val="Arial"/>
      <family val="2"/>
    </font>
    <font>
      <i/>
      <sz val="10"/>
      <color theme="1"/>
      <name val="Arial Narrow"/>
      <family val="2"/>
    </font>
    <font>
      <sz val="10"/>
      <name val="Arial Narrow"/>
      <family val="2"/>
    </font>
    <font>
      <sz val="10"/>
      <color rgb="FF000000"/>
      <name val="Arial Narrow"/>
      <family val="2"/>
    </font>
  </fonts>
  <fills count="8">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s>
  <borders count="34">
    <border>
      <left/>
      <right/>
      <top/>
      <bottom/>
      <diagonal/>
    </border>
    <border>
      <left/>
      <right/>
      <top/>
      <bottom style="hair">
        <color indexed="64"/>
      </bottom>
      <diagonal/>
    </border>
    <border>
      <left/>
      <right/>
      <top style="thin">
        <color indexed="64"/>
      </top>
      <bottom style="hair">
        <color indexed="64"/>
      </bottom>
      <diagonal/>
    </border>
    <border>
      <left/>
      <right/>
      <top style="thin">
        <color indexed="62"/>
      </top>
      <bottom style="thin">
        <color indexed="62"/>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style="thin">
        <color indexed="62"/>
      </top>
      <bottom/>
      <diagonal/>
    </border>
    <border>
      <left/>
      <right/>
      <top style="hair">
        <color indexed="64"/>
      </top>
      <bottom style="thin">
        <color indexed="64"/>
      </bottom>
      <diagonal/>
    </border>
    <border>
      <left/>
      <right/>
      <top style="thin">
        <color auto="1"/>
      </top>
      <bottom style="hair">
        <color auto="1"/>
      </bottom>
      <diagonal/>
    </border>
    <border>
      <left style="hair">
        <color indexed="64"/>
      </left>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diagonal/>
    </border>
    <border>
      <left/>
      <right/>
      <top style="hair">
        <color indexed="64"/>
      </top>
      <bottom style="thin">
        <color indexed="62"/>
      </bottom>
      <diagonal/>
    </border>
    <border>
      <left style="thin">
        <color indexed="64"/>
      </left>
      <right/>
      <top style="hair">
        <color auto="1"/>
      </top>
      <bottom style="hair">
        <color auto="1"/>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hair">
        <color indexed="64"/>
      </right>
      <top style="thin">
        <color indexed="64"/>
      </top>
      <bottom/>
      <diagonal/>
    </border>
  </borders>
  <cellStyleXfs count="32">
    <xf numFmtId="0" fontId="0"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169" fontId="7" fillId="0" borderId="0" applyFont="0" applyBorder="0" applyAlignment="0">
      <alignment vertical="center"/>
    </xf>
    <xf numFmtId="0" fontId="5" fillId="0" borderId="0"/>
    <xf numFmtId="44" fontId="5" fillId="0" borderId="0" applyFont="0" applyFill="0" applyBorder="0" applyAlignment="0" applyProtection="0"/>
    <xf numFmtId="44" fontId="5" fillId="0" borderId="0" applyFont="0" applyFill="0" applyBorder="0" applyAlignment="0" applyProtection="0"/>
    <xf numFmtId="0" fontId="15" fillId="0" borderId="0"/>
    <xf numFmtId="43" fontId="20" fillId="0" borderId="0" applyFont="0" applyFill="0" applyBorder="0" applyAlignment="0" applyProtection="0"/>
    <xf numFmtId="0" fontId="4" fillId="0" borderId="0"/>
    <xf numFmtId="0" fontId="4" fillId="0" borderId="0"/>
    <xf numFmtId="0" fontId="3" fillId="0" borderId="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43" fontId="5"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348">
    <xf numFmtId="0" fontId="0" fillId="0" borderId="0" xfId="0"/>
    <xf numFmtId="168" fontId="10" fillId="0" borderId="14" xfId="9" applyNumberFormat="1" applyFont="1" applyBorder="1"/>
    <xf numFmtId="0" fontId="10" fillId="0" borderId="0" xfId="0" applyFont="1"/>
    <xf numFmtId="0" fontId="11" fillId="0" borderId="0" xfId="0" applyFont="1"/>
    <xf numFmtId="0" fontId="11" fillId="0" borderId="0" xfId="0" applyFont="1" applyBorder="1"/>
    <xf numFmtId="0" fontId="10" fillId="0" borderId="0" xfId="0" applyFont="1" applyBorder="1"/>
    <xf numFmtId="0" fontId="12" fillId="2" borderId="3" xfId="0" applyFont="1" applyFill="1" applyBorder="1"/>
    <xf numFmtId="0" fontId="10" fillId="0" borderId="1" xfId="0" applyFont="1" applyBorder="1" applyAlignment="1">
      <alignment vertical="center"/>
    </xf>
    <xf numFmtId="0" fontId="10" fillId="0" borderId="1" xfId="0" applyFont="1" applyBorder="1"/>
    <xf numFmtId="0" fontId="10" fillId="0" borderId="1" xfId="0" applyFont="1" applyFill="1" applyBorder="1"/>
    <xf numFmtId="10" fontId="10" fillId="0" borderId="1" xfId="0" applyNumberFormat="1" applyFont="1" applyFill="1" applyBorder="1"/>
    <xf numFmtId="0" fontId="10" fillId="0" borderId="1" xfId="0" applyFont="1" applyBorder="1" applyAlignment="1">
      <alignment horizontal="left" wrapText="1"/>
    </xf>
    <xf numFmtId="0" fontId="11" fillId="0" borderId="0" xfId="0" applyFont="1" applyFill="1" applyBorder="1"/>
    <xf numFmtId="0" fontId="10" fillId="0" borderId="0" xfId="0" applyFont="1" applyFill="1" applyBorder="1"/>
    <xf numFmtId="0" fontId="10" fillId="0" borderId="1" xfId="0" applyFont="1" applyBorder="1" applyAlignment="1">
      <alignment vertical="top"/>
    </xf>
    <xf numFmtId="0" fontId="10" fillId="0" borderId="6" xfId="0" applyFont="1" applyBorder="1"/>
    <xf numFmtId="0" fontId="10" fillId="0" borderId="6" xfId="0" applyFont="1" applyFill="1" applyBorder="1"/>
    <xf numFmtId="0" fontId="10" fillId="0" borderId="4" xfId="0" applyFont="1" applyBorder="1"/>
    <xf numFmtId="9" fontId="10" fillId="0" borderId="0" xfId="1" applyFont="1" applyFill="1" applyBorder="1"/>
    <xf numFmtId="3" fontId="10" fillId="0" borderId="1" xfId="0" applyNumberFormat="1" applyFont="1" applyFill="1" applyBorder="1"/>
    <xf numFmtId="166" fontId="10" fillId="0" borderId="1" xfId="0" applyNumberFormat="1" applyFont="1" applyFill="1" applyBorder="1"/>
    <xf numFmtId="0" fontId="10" fillId="3" borderId="1" xfId="0" applyFont="1" applyFill="1" applyBorder="1" applyAlignment="1">
      <alignment horizontal="left" indent="1"/>
    </xf>
    <xf numFmtId="0" fontId="10" fillId="3" borderId="1" xfId="0" applyFont="1" applyFill="1" applyBorder="1"/>
    <xf numFmtId="0" fontId="12" fillId="2" borderId="8" xfId="0" applyFont="1" applyFill="1" applyBorder="1"/>
    <xf numFmtId="0" fontId="8" fillId="0" borderId="0" xfId="0" applyFont="1"/>
    <xf numFmtId="0" fontId="5" fillId="0" borderId="0" xfId="0" applyFont="1"/>
    <xf numFmtId="0" fontId="8" fillId="0" borderId="0" xfId="0" applyFont="1" applyFill="1" applyBorder="1"/>
    <xf numFmtId="0" fontId="5" fillId="0" borderId="0" xfId="0" applyFont="1" applyFill="1" applyBorder="1"/>
    <xf numFmtId="0" fontId="5" fillId="0" borderId="0" xfId="0" applyFont="1" applyFill="1"/>
    <xf numFmtId="0" fontId="12" fillId="4" borderId="0" xfId="0" applyFont="1" applyFill="1"/>
    <xf numFmtId="0" fontId="8" fillId="0" borderId="0" xfId="0" applyFont="1" applyBorder="1"/>
    <xf numFmtId="0" fontId="5" fillId="0" borderId="0" xfId="0" applyFont="1" applyBorder="1"/>
    <xf numFmtId="0" fontId="5" fillId="0" borderId="1" xfId="0" applyFont="1" applyBorder="1"/>
    <xf numFmtId="0" fontId="5" fillId="0" borderId="4" xfId="0" applyFont="1" applyBorder="1"/>
    <xf numFmtId="10" fontId="5" fillId="0" borderId="4" xfId="0" applyNumberFormat="1" applyFont="1" applyBorder="1"/>
    <xf numFmtId="9" fontId="5" fillId="0" borderId="4" xfId="1" applyFont="1" applyBorder="1"/>
    <xf numFmtId="167" fontId="5" fillId="0" borderId="4" xfId="1" applyNumberFormat="1" applyFont="1" applyBorder="1"/>
    <xf numFmtId="0" fontId="5" fillId="0" borderId="6" xfId="0" applyFont="1" applyBorder="1"/>
    <xf numFmtId="1" fontId="5" fillId="0" borderId="0" xfId="0" applyNumberFormat="1" applyFont="1"/>
    <xf numFmtId="1" fontId="5" fillId="0" borderId="0" xfId="0" applyNumberFormat="1" applyFont="1" applyBorder="1"/>
    <xf numFmtId="0" fontId="5" fillId="0" borderId="4" xfId="0" applyFont="1" applyBorder="1" applyAlignment="1">
      <alignment horizontal="center"/>
    </xf>
    <xf numFmtId="164" fontId="5" fillId="0" borderId="1" xfId="0" applyNumberFormat="1" applyFont="1" applyBorder="1"/>
    <xf numFmtId="164" fontId="5" fillId="0" borderId="0" xfId="0" applyNumberFormat="1" applyFont="1" applyBorder="1"/>
    <xf numFmtId="0" fontId="5" fillId="0" borderId="5" xfId="0" applyFont="1" applyBorder="1"/>
    <xf numFmtId="1" fontId="8" fillId="0" borderId="0" xfId="0" applyNumberFormat="1" applyFont="1" applyBorder="1"/>
    <xf numFmtId="164" fontId="5" fillId="0" borderId="4" xfId="0" applyNumberFormat="1" applyFont="1" applyBorder="1"/>
    <xf numFmtId="164" fontId="5" fillId="0" borderId="6" xfId="0" applyNumberFormat="1" applyFont="1" applyBorder="1"/>
    <xf numFmtId="3" fontId="5" fillId="0" borderId="1" xfId="0" applyNumberFormat="1" applyFont="1" applyBorder="1"/>
    <xf numFmtId="0" fontId="10" fillId="0" borderId="8" xfId="0" applyFont="1" applyBorder="1"/>
    <xf numFmtId="164" fontId="10" fillId="0" borderId="1" xfId="0" applyNumberFormat="1" applyFont="1" applyBorder="1"/>
    <xf numFmtId="3" fontId="10" fillId="0" borderId="0" xfId="0" applyNumberFormat="1" applyFont="1" applyBorder="1"/>
    <xf numFmtId="3" fontId="10" fillId="0" borderId="1" xfId="0" applyNumberFormat="1" applyFont="1" applyBorder="1"/>
    <xf numFmtId="0" fontId="8" fillId="0" borderId="0" xfId="0" applyFont="1" applyFill="1"/>
    <xf numFmtId="0" fontId="8" fillId="0" borderId="0" xfId="0" applyFont="1" applyFill="1" applyBorder="1" applyAlignment="1">
      <alignment horizontal="left"/>
    </xf>
    <xf numFmtId="0" fontId="5" fillId="0" borderId="1" xfId="0" applyFont="1" applyFill="1" applyBorder="1" applyAlignment="1">
      <alignment horizontal="left"/>
    </xf>
    <xf numFmtId="0" fontId="5" fillId="0" borderId="4" xfId="0" applyFont="1" applyFill="1" applyBorder="1" applyAlignment="1">
      <alignment horizontal="left"/>
    </xf>
    <xf numFmtId="165" fontId="8" fillId="0" borderId="0" xfId="0" applyNumberFormat="1" applyFont="1" applyFill="1" applyAlignment="1">
      <alignment horizontal="right"/>
    </xf>
    <xf numFmtId="0" fontId="5" fillId="0" borderId="4" xfId="0" applyFont="1" applyFill="1" applyBorder="1" applyAlignment="1">
      <alignment horizontal="left" vertical="top"/>
    </xf>
    <xf numFmtId="3" fontId="5" fillId="0" borderId="1" xfId="0" applyNumberFormat="1" applyFont="1" applyFill="1" applyBorder="1" applyAlignment="1">
      <alignment horizontal="right"/>
    </xf>
    <xf numFmtId="3" fontId="5" fillId="0" borderId="4" xfId="0" applyNumberFormat="1" applyFont="1" applyFill="1" applyBorder="1" applyAlignment="1">
      <alignment horizontal="right"/>
    </xf>
    <xf numFmtId="0" fontId="5" fillId="0" borderId="1" xfId="0" applyFont="1" applyFill="1" applyBorder="1"/>
    <xf numFmtId="0" fontId="5" fillId="0" borderId="4" xfId="0" applyFont="1" applyFill="1" applyBorder="1"/>
    <xf numFmtId="0" fontId="8" fillId="0" borderId="0" xfId="0" applyFont="1" applyFill="1" applyBorder="1" applyAlignment="1"/>
    <xf numFmtId="0" fontId="10" fillId="0" borderId="4" xfId="0" applyFont="1" applyFill="1" applyBorder="1"/>
    <xf numFmtId="0" fontId="12" fillId="4" borderId="0" xfId="0" applyFont="1" applyFill="1" applyBorder="1" applyAlignment="1"/>
    <xf numFmtId="0" fontId="13" fillId="0" borderId="0" xfId="0" applyFont="1" applyFill="1" applyBorder="1"/>
    <xf numFmtId="0" fontId="14" fillId="0" borderId="0" xfId="0" applyFont="1" applyFill="1" applyBorder="1"/>
    <xf numFmtId="1" fontId="14" fillId="0" borderId="0" xfId="0" applyNumberFormat="1" applyFont="1" applyFill="1" applyBorder="1"/>
    <xf numFmtId="0" fontId="10" fillId="5" borderId="0" xfId="0" applyFont="1" applyFill="1" applyBorder="1"/>
    <xf numFmtId="0" fontId="5" fillId="0" borderId="0" xfId="0" applyFont="1" applyAlignment="1">
      <alignment vertical="center" wrapText="1"/>
    </xf>
    <xf numFmtId="9" fontId="10" fillId="0" borderId="0" xfId="0" applyNumberFormat="1" applyFont="1" applyFill="1" applyBorder="1"/>
    <xf numFmtId="165" fontId="5" fillId="0" borderId="0" xfId="0" applyNumberFormat="1" applyFont="1" applyFill="1" applyBorder="1" applyAlignment="1">
      <alignment horizontal="right"/>
    </xf>
    <xf numFmtId="0" fontId="5" fillId="0" borderId="1" xfId="0" applyFont="1" applyFill="1" applyBorder="1" applyAlignment="1">
      <alignment horizontal="left" vertical="top"/>
    </xf>
    <xf numFmtId="0" fontId="16" fillId="0" borderId="1" xfId="0" applyFont="1" applyBorder="1"/>
    <xf numFmtId="0" fontId="17" fillId="0" borderId="1" xfId="0" applyFont="1" applyBorder="1"/>
    <xf numFmtId="1" fontId="16" fillId="0" borderId="1" xfId="0" applyNumberFormat="1" applyFont="1" applyBorder="1"/>
    <xf numFmtId="0" fontId="11" fillId="0" borderId="4" xfId="0" applyFont="1" applyBorder="1"/>
    <xf numFmtId="0" fontId="10" fillId="0" borderId="1" xfId="0" applyNumberFormat="1" applyFont="1" applyFill="1" applyBorder="1"/>
    <xf numFmtId="0" fontId="10" fillId="0" borderId="4" xfId="0" applyFont="1" applyBorder="1" applyAlignment="1">
      <alignment horizontal="left" indent="1"/>
    </xf>
    <xf numFmtId="5" fontId="10" fillId="0" borderId="4" xfId="0" applyNumberFormat="1" applyFont="1" applyFill="1" applyBorder="1" applyAlignment="1">
      <alignment horizontal="right"/>
    </xf>
    <xf numFmtId="5" fontId="11" fillId="0" borderId="4" xfId="0" applyNumberFormat="1" applyFont="1" applyBorder="1" applyAlignment="1">
      <alignment horizontal="right"/>
    </xf>
    <xf numFmtId="9" fontId="10" fillId="0" borderId="4" xfId="0" applyNumberFormat="1" applyFont="1" applyBorder="1"/>
    <xf numFmtId="0" fontId="11" fillId="0" borderId="0" xfId="0" applyFont="1" applyAlignment="1"/>
    <xf numFmtId="0" fontId="18" fillId="0" borderId="1" xfId="0" applyFont="1" applyBorder="1"/>
    <xf numFmtId="167" fontId="10" fillId="0" borderId="1" xfId="0" applyNumberFormat="1" applyFont="1" applyFill="1" applyBorder="1"/>
    <xf numFmtId="167" fontId="10" fillId="0" borderId="4" xfId="0" applyNumberFormat="1" applyFont="1" applyFill="1" applyBorder="1"/>
    <xf numFmtId="2" fontId="5" fillId="0" borderId="0" xfId="0" applyNumberFormat="1" applyFont="1" applyFill="1" applyBorder="1" applyAlignment="1"/>
    <xf numFmtId="2" fontId="19" fillId="4" borderId="0" xfId="0" applyNumberFormat="1" applyFont="1" applyFill="1" applyBorder="1" applyAlignment="1"/>
    <xf numFmtId="0" fontId="8" fillId="0" borderId="2" xfId="0" applyFont="1" applyFill="1" applyBorder="1" applyAlignment="1">
      <alignment horizontal="left"/>
    </xf>
    <xf numFmtId="172" fontId="10" fillId="0" borderId="1" xfId="0" applyNumberFormat="1" applyFont="1" applyFill="1" applyBorder="1"/>
    <xf numFmtId="172" fontId="10" fillId="0" borderId="1" xfId="0" applyNumberFormat="1" applyFont="1" applyBorder="1"/>
    <xf numFmtId="172" fontId="5" fillId="0" borderId="4" xfId="0" applyNumberFormat="1" applyFont="1" applyFill="1" applyBorder="1" applyAlignment="1">
      <alignment horizontal="right"/>
    </xf>
    <xf numFmtId="172" fontId="8" fillId="0" borderId="2" xfId="0" applyNumberFormat="1" applyFont="1" applyFill="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alignment horizontal="left" vertical="top"/>
    </xf>
    <xf numFmtId="166" fontId="5" fillId="0" borderId="0" xfId="0" applyNumberFormat="1" applyFont="1" applyFill="1" applyBorder="1" applyAlignment="1">
      <alignment horizontal="right"/>
    </xf>
    <xf numFmtId="0" fontId="16" fillId="0" borderId="1" xfId="0" applyFont="1" applyFill="1" applyBorder="1"/>
    <xf numFmtId="0" fontId="17" fillId="0" borderId="1" xfId="0" applyFont="1" applyFill="1" applyBorder="1"/>
    <xf numFmtId="1" fontId="16" fillId="0" borderId="1" xfId="0" applyNumberFormat="1" applyFont="1" applyFill="1" applyBorder="1"/>
    <xf numFmtId="172" fontId="8" fillId="0" borderId="10" xfId="0" applyNumberFormat="1" applyFont="1" applyFill="1" applyBorder="1" applyAlignment="1">
      <alignment horizontal="left"/>
    </xf>
    <xf numFmtId="172" fontId="8" fillId="0" borderId="10" xfId="0" applyNumberFormat="1" applyFont="1" applyFill="1" applyBorder="1" applyAlignment="1">
      <alignment horizontal="right"/>
    </xf>
    <xf numFmtId="172" fontId="5" fillId="0" borderId="1" xfId="0" applyNumberFormat="1" applyFont="1" applyFill="1" applyBorder="1" applyAlignment="1">
      <alignment horizontal="right"/>
    </xf>
    <xf numFmtId="2" fontId="10" fillId="0" borderId="4" xfId="0" applyNumberFormat="1" applyFont="1" applyBorder="1"/>
    <xf numFmtId="0" fontId="10" fillId="0" borderId="4" xfId="0" applyFont="1" applyBorder="1" applyAlignment="1">
      <alignment horizontal="left"/>
    </xf>
    <xf numFmtId="0" fontId="10" fillId="0" borderId="4" xfId="0" applyFont="1" applyBorder="1" applyAlignment="1">
      <alignment horizontal="right"/>
    </xf>
    <xf numFmtId="170" fontId="10" fillId="0" borderId="4" xfId="0" applyNumberFormat="1" applyFont="1" applyBorder="1"/>
    <xf numFmtId="173" fontId="5" fillId="0" borderId="1" xfId="0" applyNumberFormat="1" applyFont="1" applyFill="1" applyBorder="1" applyAlignment="1">
      <alignment horizontal="right"/>
    </xf>
    <xf numFmtId="173" fontId="5" fillId="0" borderId="4" xfId="0" applyNumberFormat="1" applyFont="1" applyFill="1" applyBorder="1" applyAlignment="1">
      <alignment horizontal="right"/>
    </xf>
    <xf numFmtId="0" fontId="17" fillId="0" borderId="0" xfId="0" applyFont="1" applyBorder="1"/>
    <xf numFmtId="0" fontId="9" fillId="0" borderId="0" xfId="0" applyFont="1" applyFill="1"/>
    <xf numFmtId="0" fontId="18" fillId="0" borderId="1" xfId="0" applyFont="1" applyFill="1" applyBorder="1"/>
    <xf numFmtId="1" fontId="18" fillId="0" borderId="1" xfId="0" applyNumberFormat="1" applyFont="1" applyFill="1" applyBorder="1"/>
    <xf numFmtId="0" fontId="5" fillId="0" borderId="10" xfId="0" applyFont="1" applyBorder="1"/>
    <xf numFmtId="0" fontId="5" fillId="0" borderId="10" xfId="0" applyFont="1" applyBorder="1" applyAlignment="1">
      <alignment horizontal="center"/>
    </xf>
    <xf numFmtId="0" fontId="8" fillId="0" borderId="10" xfId="0" applyFont="1" applyBorder="1"/>
    <xf numFmtId="0" fontId="5" fillId="0" borderId="7" xfId="0" applyFont="1" applyBorder="1"/>
    <xf numFmtId="1" fontId="10" fillId="0" borderId="1" xfId="0" applyNumberFormat="1" applyFont="1" applyFill="1" applyBorder="1"/>
    <xf numFmtId="0" fontId="5" fillId="0" borderId="1" xfId="0" applyFont="1" applyFill="1" applyBorder="1" applyAlignment="1">
      <alignment horizontal="left" indent="1"/>
    </xf>
    <xf numFmtId="0" fontId="5" fillId="0" borderId="4" xfId="0" applyFont="1" applyFill="1" applyBorder="1" applyAlignment="1">
      <alignment horizontal="left" indent="1"/>
    </xf>
    <xf numFmtId="0" fontId="5" fillId="0" borderId="4" xfId="0" applyFont="1" applyFill="1" applyBorder="1" applyAlignment="1">
      <alignment horizontal="left" vertical="top" indent="1"/>
    </xf>
    <xf numFmtId="0" fontId="9" fillId="0" borderId="0" xfId="0" applyFont="1"/>
    <xf numFmtId="168" fontId="10" fillId="0" borderId="1" xfId="2" applyNumberFormat="1" applyFont="1" applyBorder="1"/>
    <xf numFmtId="175" fontId="10" fillId="0" borderId="1" xfId="1" applyNumberFormat="1" applyFont="1" applyBorder="1"/>
    <xf numFmtId="174" fontId="10" fillId="0" borderId="1" xfId="0" applyNumberFormat="1" applyFont="1" applyFill="1" applyBorder="1"/>
    <xf numFmtId="176" fontId="5" fillId="0" borderId="4" xfId="9" applyNumberFormat="1" applyFont="1" applyFill="1" applyBorder="1" applyAlignment="1">
      <alignment horizontal="left"/>
    </xf>
    <xf numFmtId="10" fontId="10" fillId="0" borderId="0" xfId="0" applyNumberFormat="1" applyFont="1" applyFill="1" applyBorder="1"/>
    <xf numFmtId="10" fontId="17" fillId="0" borderId="0" xfId="1" applyNumberFormat="1" applyFont="1" applyBorder="1"/>
    <xf numFmtId="177" fontId="10" fillId="0" borderId="4" xfId="1" applyNumberFormat="1" applyFont="1" applyBorder="1"/>
    <xf numFmtId="177" fontId="10" fillId="0" borderId="4" xfId="0" applyNumberFormat="1" applyFont="1" applyBorder="1"/>
    <xf numFmtId="177" fontId="10" fillId="0" borderId="1" xfId="0" applyNumberFormat="1" applyFont="1" applyFill="1" applyBorder="1"/>
    <xf numFmtId="39" fontId="10" fillId="0" borderId="1" xfId="0" applyNumberFormat="1" applyFont="1" applyFill="1" applyBorder="1"/>
    <xf numFmtId="175" fontId="10" fillId="0" borderId="1" xfId="1" applyNumberFormat="1" applyFont="1" applyFill="1" applyBorder="1"/>
    <xf numFmtId="0" fontId="5" fillId="0" borderId="4" xfId="9" applyNumberFormat="1" applyFont="1" applyFill="1" applyBorder="1" applyAlignment="1">
      <alignment horizontal="left"/>
    </xf>
    <xf numFmtId="1" fontId="10" fillId="0" borderId="1" xfId="0" applyNumberFormat="1" applyFont="1" applyBorder="1"/>
    <xf numFmtId="0" fontId="5" fillId="0" borderId="4" xfId="9" applyNumberFormat="1" applyFont="1" applyFill="1" applyBorder="1" applyAlignment="1">
      <alignment horizontal="left" indent="1"/>
    </xf>
    <xf numFmtId="0" fontId="5" fillId="0" borderId="9" xfId="9" applyNumberFormat="1" applyFont="1" applyFill="1" applyBorder="1" applyAlignment="1">
      <alignment horizontal="left" indent="1"/>
    </xf>
    <xf numFmtId="176" fontId="5" fillId="0" borderId="9" xfId="9" applyNumberFormat="1" applyFont="1" applyFill="1" applyBorder="1" applyAlignment="1">
      <alignment horizontal="left"/>
    </xf>
    <xf numFmtId="0" fontId="5" fillId="0" borderId="10" xfId="9" applyNumberFormat="1" applyFont="1" applyFill="1" applyBorder="1" applyAlignment="1">
      <alignment horizontal="left" indent="1"/>
    </xf>
    <xf numFmtId="176" fontId="5" fillId="0" borderId="10" xfId="9" applyNumberFormat="1" applyFont="1" applyFill="1" applyBorder="1" applyAlignment="1">
      <alignment horizontal="left"/>
    </xf>
    <xf numFmtId="176" fontId="5" fillId="0" borderId="1" xfId="9" applyNumberFormat="1" applyFont="1" applyFill="1" applyBorder="1" applyAlignment="1">
      <alignment horizontal="left"/>
    </xf>
    <xf numFmtId="0" fontId="5" fillId="0" borderId="1" xfId="9" applyNumberFormat="1" applyFont="1" applyFill="1" applyBorder="1" applyAlignment="1">
      <alignment horizontal="left"/>
    </xf>
    <xf numFmtId="2" fontId="10" fillId="0" borderId="1" xfId="0" applyNumberFormat="1" applyFont="1" applyFill="1" applyBorder="1"/>
    <xf numFmtId="180" fontId="10" fillId="0" borderId="1" xfId="0" applyNumberFormat="1" applyFont="1" applyFill="1" applyBorder="1"/>
    <xf numFmtId="171" fontId="5" fillId="0" borderId="4" xfId="0" applyNumberFormat="1" applyFont="1" applyBorder="1"/>
    <xf numFmtId="171" fontId="5" fillId="0" borderId="0" xfId="0" applyNumberFormat="1" applyFont="1"/>
    <xf numFmtId="171" fontId="5" fillId="0" borderId="6" xfId="0" applyNumberFormat="1" applyFont="1" applyBorder="1"/>
    <xf numFmtId="171" fontId="8" fillId="0" borderId="10" xfId="0" applyNumberFormat="1" applyFont="1" applyBorder="1"/>
    <xf numFmtId="171" fontId="5" fillId="0" borderId="1" xfId="0" applyNumberFormat="1" applyFont="1" applyBorder="1"/>
    <xf numFmtId="171" fontId="5" fillId="0" borderId="9" xfId="0" applyNumberFormat="1" applyFont="1" applyBorder="1"/>
    <xf numFmtId="171" fontId="5" fillId="0" borderId="10" xfId="0" applyNumberFormat="1" applyFont="1" applyBorder="1"/>
    <xf numFmtId="164" fontId="5" fillId="0" borderId="9" xfId="0" applyNumberFormat="1" applyFont="1" applyBorder="1"/>
    <xf numFmtId="164" fontId="5" fillId="0" borderId="10" xfId="0" applyNumberFormat="1" applyFont="1" applyBorder="1"/>
    <xf numFmtId="171" fontId="5" fillId="0" borderId="0" xfId="0" applyNumberFormat="1" applyFont="1" applyBorder="1"/>
    <xf numFmtId="0" fontId="5" fillId="0" borderId="11" xfId="0" applyFont="1" applyBorder="1"/>
    <xf numFmtId="0" fontId="5" fillId="0" borderId="0" xfId="0" applyFont="1" applyBorder="1" applyAlignment="1">
      <alignment horizontal="center"/>
    </xf>
    <xf numFmtId="0" fontId="10" fillId="0" borderId="13" xfId="0" applyFont="1" applyBorder="1"/>
    <xf numFmtId="3" fontId="10" fillId="0" borderId="9" xfId="0" applyNumberFormat="1" applyFont="1" applyBorder="1"/>
    <xf numFmtId="164" fontId="10" fillId="0" borderId="9" xfId="0" applyNumberFormat="1" applyFont="1" applyBorder="1"/>
    <xf numFmtId="171" fontId="10" fillId="0" borderId="1" xfId="0" applyNumberFormat="1" applyFont="1" applyBorder="1"/>
    <xf numFmtId="171" fontId="10" fillId="0" borderId="9" xfId="0" applyNumberFormat="1" applyFont="1" applyBorder="1"/>
    <xf numFmtId="0" fontId="19" fillId="2" borderId="3" xfId="0" applyFont="1" applyFill="1" applyBorder="1"/>
    <xf numFmtId="1" fontId="19" fillId="2" borderId="3" xfId="0" applyNumberFormat="1" applyFont="1" applyFill="1" applyBorder="1"/>
    <xf numFmtId="1" fontId="19" fillId="2" borderId="0" xfId="0" applyNumberFormat="1" applyFont="1" applyFill="1"/>
    <xf numFmtId="0" fontId="19" fillId="0" borderId="0" xfId="0" applyFont="1"/>
    <xf numFmtId="0" fontId="10" fillId="0" borderId="0" xfId="0" applyFont="1" applyBorder="1" applyAlignment="1">
      <alignment horizontal="left"/>
    </xf>
    <xf numFmtId="170" fontId="10" fillId="0" borderId="0" xfId="0" applyNumberFormat="1" applyFont="1" applyBorder="1"/>
    <xf numFmtId="2" fontId="10" fillId="0" borderId="0" xfId="0" applyNumberFormat="1" applyFont="1" applyBorder="1"/>
    <xf numFmtId="0" fontId="10" fillId="0" borderId="14" xfId="0" applyFont="1" applyBorder="1"/>
    <xf numFmtId="0" fontId="16" fillId="0" borderId="0" xfId="0" applyFont="1" applyBorder="1"/>
    <xf numFmtId="0" fontId="10" fillId="0" borderId="15" xfId="0" applyFont="1" applyBorder="1"/>
    <xf numFmtId="0" fontId="10" fillId="0" borderId="0" xfId="12" applyFont="1"/>
    <xf numFmtId="0" fontId="11" fillId="0" borderId="0" xfId="0" applyNumberFormat="1" applyFont="1" applyBorder="1" applyAlignment="1"/>
    <xf numFmtId="1" fontId="16" fillId="0" borderId="0" xfId="0" applyNumberFormat="1" applyFont="1" applyFill="1" applyBorder="1" applyAlignment="1">
      <alignment horizontal="right"/>
    </xf>
    <xf numFmtId="0" fontId="16" fillId="0" borderId="0" xfId="0" applyFont="1" applyFill="1" applyBorder="1"/>
    <xf numFmtId="181" fontId="5" fillId="0" borderId="0" xfId="0" applyNumberFormat="1" applyFont="1" applyFill="1" applyBorder="1"/>
    <xf numFmtId="181" fontId="5" fillId="0" borderId="0" xfId="0" applyNumberFormat="1" applyFont="1"/>
    <xf numFmtId="181" fontId="5" fillId="0" borderId="0" xfId="0" applyNumberFormat="1" applyFont="1" applyFill="1"/>
    <xf numFmtId="181" fontId="5" fillId="4" borderId="0" xfId="0" applyNumberFormat="1" applyFont="1" applyFill="1" applyBorder="1"/>
    <xf numFmtId="181" fontId="5" fillId="4" borderId="0" xfId="0" applyNumberFormat="1" applyFont="1" applyFill="1"/>
    <xf numFmtId="181" fontId="5" fillId="3" borderId="0" xfId="0" applyNumberFormat="1" applyFont="1" applyFill="1"/>
    <xf numFmtId="0" fontId="5" fillId="0" borderId="14" xfId="0" applyFont="1" applyBorder="1"/>
    <xf numFmtId="39" fontId="17" fillId="0" borderId="1" xfId="0" applyNumberFormat="1" applyFont="1" applyFill="1" applyBorder="1"/>
    <xf numFmtId="0" fontId="10" fillId="0" borderId="0" xfId="0" applyFont="1" applyAlignment="1">
      <alignment horizontal="right" vertical="center"/>
    </xf>
    <xf numFmtId="1" fontId="11" fillId="0" borderId="0" xfId="0" applyNumberFormat="1" applyFont="1" applyBorder="1"/>
    <xf numFmtId="0" fontId="10" fillId="0" borderId="0" xfId="0" applyFont="1" applyBorder="1" applyAlignment="1">
      <alignment horizontal="right" vertical="center"/>
    </xf>
    <xf numFmtId="0" fontId="17" fillId="0" borderId="0" xfId="0" applyFont="1" applyBorder="1" applyAlignment="1">
      <alignment horizontal="left" vertical="center"/>
    </xf>
    <xf numFmtId="171" fontId="10" fillId="0" borderId="0" xfId="0" applyNumberFormat="1" applyFont="1" applyBorder="1"/>
    <xf numFmtId="0" fontId="5" fillId="0" borderId="15" xfId="0" applyFont="1" applyBorder="1"/>
    <xf numFmtId="171" fontId="5" fillId="0" borderId="14" xfId="0" applyNumberFormat="1" applyFont="1" applyBorder="1"/>
    <xf numFmtId="37" fontId="5" fillId="0" borderId="4" xfId="0" applyNumberFormat="1" applyFont="1" applyBorder="1"/>
    <xf numFmtId="0" fontId="22" fillId="0" borderId="0" xfId="0" applyFont="1" applyFill="1"/>
    <xf numFmtId="0" fontId="5" fillId="0" borderId="15" xfId="0" applyFont="1" applyBorder="1" applyAlignment="1">
      <alignment vertical="center"/>
    </xf>
    <xf numFmtId="0" fontId="5" fillId="0" borderId="15" xfId="0" applyFont="1" applyBorder="1" applyAlignment="1">
      <alignment vertical="center" wrapText="1"/>
    </xf>
    <xf numFmtId="0" fontId="9" fillId="0" borderId="1" xfId="0" applyFont="1" applyBorder="1"/>
    <xf numFmtId="165" fontId="10" fillId="0" borderId="0" xfId="0" applyNumberFormat="1" applyFont="1" applyBorder="1"/>
    <xf numFmtId="10" fontId="10" fillId="0" borderId="0" xfId="1" applyNumberFormat="1" applyFont="1" applyBorder="1"/>
    <xf numFmtId="0" fontId="5" fillId="0" borderId="16" xfId="0" applyFont="1" applyBorder="1"/>
    <xf numFmtId="0" fontId="16" fillId="0" borderId="0" xfId="0" applyFont="1" applyFill="1" applyBorder="1" applyAlignment="1">
      <alignment horizontal="right"/>
    </xf>
    <xf numFmtId="0" fontId="10" fillId="0" borderId="0" xfId="0" applyFont="1" applyFill="1"/>
    <xf numFmtId="0" fontId="16" fillId="0" borderId="1" xfId="0" applyFont="1" applyFill="1" applyBorder="1" applyAlignment="1">
      <alignment horizontal="left"/>
    </xf>
    <xf numFmtId="179" fontId="10" fillId="6" borderId="12" xfId="0" applyNumberFormat="1" applyFont="1" applyFill="1" applyBorder="1"/>
    <xf numFmtId="177" fontId="10" fillId="0" borderId="4" xfId="1" applyNumberFormat="1" applyFont="1" applyFill="1" applyBorder="1" applyAlignment="1">
      <alignment vertical="center" wrapText="1"/>
    </xf>
    <xf numFmtId="178" fontId="10" fillId="6" borderId="12" xfId="0" applyNumberFormat="1" applyFont="1" applyFill="1" applyBorder="1"/>
    <xf numFmtId="177" fontId="10" fillId="0" borderId="6" xfId="1" applyNumberFormat="1" applyFont="1" applyFill="1" applyBorder="1" applyAlignment="1">
      <alignment vertical="center" wrapText="1"/>
    </xf>
    <xf numFmtId="10" fontId="10" fillId="0" borderId="6" xfId="1" applyNumberFormat="1" applyFont="1" applyFill="1" applyBorder="1" applyAlignment="1">
      <alignment vertical="center" wrapText="1"/>
    </xf>
    <xf numFmtId="10" fontId="10" fillId="0" borderId="0" xfId="1" applyNumberFormat="1" applyFont="1" applyFill="1" applyBorder="1" applyAlignment="1">
      <alignment vertical="center" wrapText="1"/>
    </xf>
    <xf numFmtId="177" fontId="10" fillId="0" borderId="1" xfId="0" applyNumberFormat="1" applyFont="1" applyBorder="1"/>
    <xf numFmtId="0" fontId="10" fillId="0" borderId="4" xfId="4" applyNumberFormat="1" applyFont="1" applyBorder="1" applyAlignment="1">
      <alignment horizontal="left" vertical="center"/>
    </xf>
    <xf numFmtId="0" fontId="10" fillId="0" borderId="4" xfId="0" applyNumberFormat="1" applyFont="1" applyBorder="1" applyAlignment="1">
      <alignment horizontal="left"/>
    </xf>
    <xf numFmtId="5" fontId="10" fillId="0" borderId="4" xfId="7" applyNumberFormat="1" applyFont="1" applyBorder="1" applyAlignment="1">
      <alignment horizontal="right"/>
    </xf>
    <xf numFmtId="5" fontId="10" fillId="0" borderId="4" xfId="6" applyNumberFormat="1" applyFont="1" applyBorder="1" applyAlignment="1">
      <alignment horizontal="right"/>
    </xf>
    <xf numFmtId="0" fontId="11" fillId="0" borderId="0" xfId="0" applyFont="1" applyFill="1"/>
    <xf numFmtId="0" fontId="19" fillId="2" borderId="8" xfId="0" applyFont="1" applyFill="1" applyBorder="1"/>
    <xf numFmtId="0" fontId="19" fillId="4" borderId="0" xfId="0" applyFont="1" applyFill="1" applyBorder="1"/>
    <xf numFmtId="0" fontId="19" fillId="2" borderId="0" xfId="0" applyFont="1" applyFill="1" applyBorder="1"/>
    <xf numFmtId="0" fontId="19" fillId="0" borderId="0" xfId="0" applyFont="1" applyBorder="1"/>
    <xf numFmtId="0" fontId="5" fillId="0" borderId="0" xfId="0" applyNumberFormat="1" applyFont="1" applyAlignment="1">
      <alignment vertical="center"/>
    </xf>
    <xf numFmtId="0" fontId="5" fillId="0" borderId="10" xfId="9" applyNumberFormat="1" applyFont="1" applyFill="1" applyBorder="1" applyAlignment="1">
      <alignment horizontal="left"/>
    </xf>
    <xf numFmtId="0" fontId="10" fillId="0" borderId="1" xfId="0" applyFont="1" applyBorder="1" applyAlignment="1">
      <alignment horizontal="left" indent="1"/>
    </xf>
    <xf numFmtId="172" fontId="10" fillId="3" borderId="1" xfId="0" applyNumberFormat="1" applyFont="1" applyFill="1" applyBorder="1"/>
    <xf numFmtId="0" fontId="10" fillId="3" borderId="17" xfId="0" applyFont="1" applyFill="1" applyBorder="1" applyAlignment="1">
      <alignment horizontal="left" indent="1"/>
    </xf>
    <xf numFmtId="0" fontId="10" fillId="3" borderId="17" xfId="0" applyFont="1" applyFill="1" applyBorder="1"/>
    <xf numFmtId="172" fontId="10" fillId="0" borderId="17" xfId="0" applyNumberFormat="1" applyFont="1" applyFill="1" applyBorder="1"/>
    <xf numFmtId="0" fontId="5" fillId="0" borderId="14" xfId="0" applyFont="1" applyFill="1" applyBorder="1" applyAlignment="1">
      <alignment horizontal="left"/>
    </xf>
    <xf numFmtId="172" fontId="5" fillId="0" borderId="14" xfId="0" applyNumberFormat="1" applyFont="1" applyFill="1" applyBorder="1" applyAlignment="1">
      <alignment horizontal="right"/>
    </xf>
    <xf numFmtId="10" fontId="5" fillId="0" borderId="4" xfId="1" applyNumberFormat="1" applyFont="1" applyFill="1" applyBorder="1" applyAlignment="1">
      <alignment horizontal="right"/>
    </xf>
    <xf numFmtId="37" fontId="5" fillId="0" borderId="14" xfId="0" applyNumberFormat="1" applyFont="1" applyBorder="1"/>
    <xf numFmtId="175" fontId="10" fillId="0" borderId="14" xfId="1" applyNumberFormat="1" applyFont="1" applyFill="1" applyBorder="1"/>
    <xf numFmtId="175" fontId="10" fillId="0" borderId="1" xfId="0" applyNumberFormat="1" applyFont="1" applyBorder="1"/>
    <xf numFmtId="182" fontId="5" fillId="0" borderId="14" xfId="1" applyNumberFormat="1" applyFont="1" applyFill="1" applyBorder="1" applyAlignment="1">
      <alignment horizontal="left"/>
    </xf>
    <xf numFmtId="37" fontId="10" fillId="0" borderId="0" xfId="0" applyNumberFormat="1" applyFont="1" applyFill="1" applyBorder="1"/>
    <xf numFmtId="37" fontId="10" fillId="0" borderId="0" xfId="0" applyNumberFormat="1" applyFont="1" applyBorder="1"/>
    <xf numFmtId="179" fontId="10" fillId="0" borderId="0" xfId="0" applyNumberFormat="1" applyFont="1" applyFill="1" applyBorder="1"/>
    <xf numFmtId="179" fontId="10" fillId="0" borderId="0" xfId="0" applyNumberFormat="1" applyFont="1" applyBorder="1"/>
    <xf numFmtId="168" fontId="10" fillId="0" borderId="1" xfId="9" applyNumberFormat="1" applyFont="1" applyBorder="1"/>
    <xf numFmtId="168" fontId="10" fillId="0" borderId="0" xfId="9" applyNumberFormat="1" applyFont="1" applyBorder="1"/>
    <xf numFmtId="0" fontId="10" fillId="0" borderId="14" xfId="0" applyFont="1" applyBorder="1" applyAlignment="1">
      <alignment vertical="top"/>
    </xf>
    <xf numFmtId="8" fontId="10" fillId="0" borderId="1" xfId="0" applyNumberFormat="1" applyFont="1" applyBorder="1"/>
    <xf numFmtId="166" fontId="10" fillId="0" borderId="19" xfId="0" applyNumberFormat="1" applyFont="1" applyFill="1" applyBorder="1"/>
    <xf numFmtId="9" fontId="10" fillId="6" borderId="14" xfId="0" applyNumberFormat="1" applyFont="1" applyFill="1" applyBorder="1"/>
    <xf numFmtId="37" fontId="10" fillId="0" borderId="14" xfId="0" applyNumberFormat="1" applyFont="1" applyFill="1" applyBorder="1"/>
    <xf numFmtId="0" fontId="18" fillId="0" borderId="0" xfId="0" applyFont="1" applyFill="1" applyBorder="1"/>
    <xf numFmtId="0" fontId="8" fillId="0" borderId="0" xfId="0" applyFont="1" applyFill="1" applyBorder="1" applyAlignment="1">
      <alignment horizontal="right"/>
    </xf>
    <xf numFmtId="1" fontId="8" fillId="0" borderId="0" xfId="0" applyNumberFormat="1" applyFont="1" applyBorder="1" applyAlignment="1">
      <alignment horizontal="center" vertical="center"/>
    </xf>
    <xf numFmtId="9" fontId="8" fillId="0" borderId="0" xfId="1" applyFont="1" applyFill="1" applyBorder="1" applyAlignment="1"/>
    <xf numFmtId="165" fontId="8" fillId="0" borderId="0" xfId="0" applyNumberFormat="1" applyFont="1" applyFill="1"/>
    <xf numFmtId="49" fontId="8" fillId="0" borderId="18" xfId="0" applyNumberFormat="1" applyFont="1" applyFill="1" applyBorder="1" applyAlignment="1">
      <alignment horizontal="left"/>
    </xf>
    <xf numFmtId="49" fontId="8" fillId="0" borderId="18" xfId="0" applyNumberFormat="1" applyFont="1" applyFill="1" applyBorder="1" applyAlignment="1">
      <alignment horizontal="centerContinuous"/>
    </xf>
    <xf numFmtId="182" fontId="5" fillId="0" borderId="20" xfId="1" applyNumberFormat="1" applyFont="1" applyFill="1" applyBorder="1" applyAlignment="1">
      <alignment horizontal="left"/>
    </xf>
    <xf numFmtId="164" fontId="5" fillId="0" borderId="15" xfId="0" applyNumberFormat="1" applyFont="1" applyBorder="1"/>
    <xf numFmtId="164" fontId="10" fillId="0" borderId="0" xfId="0" applyNumberFormat="1" applyFont="1" applyBorder="1"/>
    <xf numFmtId="164" fontId="5" fillId="0" borderId="14" xfId="0" applyNumberFormat="1" applyFont="1" applyBorder="1"/>
    <xf numFmtId="1" fontId="10" fillId="0" borderId="15" xfId="0" applyNumberFormat="1" applyFont="1" applyBorder="1"/>
    <xf numFmtId="1" fontId="16" fillId="0" borderId="14" xfId="0" applyNumberFormat="1" applyFont="1" applyBorder="1"/>
    <xf numFmtId="3" fontId="10" fillId="0" borderId="0" xfId="1" applyNumberFormat="1" applyFont="1" applyFill="1" applyBorder="1"/>
    <xf numFmtId="3" fontId="10" fillId="0" borderId="0" xfId="0" applyNumberFormat="1" applyFont="1" applyFill="1" applyBorder="1"/>
    <xf numFmtId="39" fontId="10" fillId="0" borderId="14" xfId="0" applyNumberFormat="1" applyFont="1" applyFill="1" applyBorder="1"/>
    <xf numFmtId="2" fontId="17" fillId="0" borderId="15" xfId="0" applyNumberFormat="1" applyFont="1" applyBorder="1"/>
    <xf numFmtId="2" fontId="17" fillId="0" borderId="0" xfId="0" applyNumberFormat="1" applyFont="1" applyBorder="1"/>
    <xf numFmtId="39" fontId="10" fillId="5" borderId="4" xfId="0" applyNumberFormat="1" applyFont="1" applyFill="1" applyBorder="1" applyAlignment="1">
      <alignment vertical="center"/>
    </xf>
    <xf numFmtId="39" fontId="10" fillId="5" borderId="14" xfId="0" applyNumberFormat="1" applyFont="1" applyFill="1" applyBorder="1" applyAlignment="1">
      <alignment vertical="center"/>
    </xf>
    <xf numFmtId="2" fontId="10" fillId="5" borderId="1" xfId="0" applyNumberFormat="1" applyFont="1" applyFill="1" applyBorder="1" applyAlignment="1">
      <alignment vertical="center"/>
    </xf>
    <xf numFmtId="171" fontId="10" fillId="5" borderId="4" xfId="0" applyNumberFormat="1" applyFont="1" applyFill="1" applyBorder="1" applyAlignment="1">
      <alignment vertical="center"/>
    </xf>
    <xf numFmtId="165" fontId="10" fillId="5" borderId="14" xfId="0" applyNumberFormat="1" applyFont="1" applyFill="1" applyBorder="1" applyAlignment="1">
      <alignment vertical="center"/>
    </xf>
    <xf numFmtId="165" fontId="10" fillId="5" borderId="0" xfId="0" applyNumberFormat="1" applyFont="1" applyFill="1" applyBorder="1" applyAlignment="1">
      <alignment vertical="center"/>
    </xf>
    <xf numFmtId="165" fontId="10" fillId="5" borderId="1" xfId="0" applyNumberFormat="1" applyFont="1" applyFill="1" applyBorder="1" applyAlignment="1">
      <alignment vertical="center"/>
    </xf>
    <xf numFmtId="37" fontId="10" fillId="5" borderId="14" xfId="0" applyNumberFormat="1" applyFont="1" applyFill="1" applyBorder="1" applyAlignment="1">
      <alignment vertical="center"/>
    </xf>
    <xf numFmtId="168" fontId="10" fillId="5" borderId="14" xfId="9" applyNumberFormat="1" applyFont="1" applyFill="1" applyBorder="1" applyAlignment="1">
      <alignment vertical="center"/>
    </xf>
    <xf numFmtId="3" fontId="0" fillId="5" borderId="14" xfId="0" applyNumberFormat="1" applyFill="1" applyBorder="1" applyAlignment="1">
      <alignment vertical="center"/>
    </xf>
    <xf numFmtId="183" fontId="5" fillId="0" borderId="4" xfId="0" applyNumberFormat="1" applyFont="1" applyFill="1" applyBorder="1" applyAlignment="1">
      <alignment horizontal="right"/>
    </xf>
    <xf numFmtId="2" fontId="10" fillId="5" borderId="0" xfId="0" applyNumberFormat="1" applyFont="1" applyFill="1" applyBorder="1"/>
    <xf numFmtId="168" fontId="10" fillId="5" borderId="14" xfId="9" applyNumberFormat="1" applyFont="1" applyFill="1" applyBorder="1"/>
    <xf numFmtId="165" fontId="10" fillId="5" borderId="14" xfId="0" applyNumberFormat="1" applyFont="1" applyFill="1" applyBorder="1"/>
    <xf numFmtId="168" fontId="10" fillId="5" borderId="0" xfId="9" applyNumberFormat="1" applyFont="1" applyFill="1" applyBorder="1"/>
    <xf numFmtId="184" fontId="8" fillId="0" borderId="2" xfId="0" applyNumberFormat="1" applyFont="1" applyFill="1" applyBorder="1" applyAlignment="1">
      <alignment horizontal="right"/>
    </xf>
    <xf numFmtId="0" fontId="10" fillId="0" borderId="0" xfId="0" applyNumberFormat="1" applyFont="1" applyBorder="1" applyAlignment="1">
      <alignment horizontal="left"/>
    </xf>
    <xf numFmtId="167" fontId="10" fillId="0" borderId="0" xfId="0" applyNumberFormat="1" applyFont="1" applyFill="1" applyBorder="1"/>
    <xf numFmtId="9" fontId="10" fillId="0" borderId="1" xfId="0" applyNumberFormat="1" applyFont="1" applyBorder="1"/>
    <xf numFmtId="0" fontId="5" fillId="0" borderId="14" xfId="0" applyFont="1" applyFill="1" applyBorder="1" applyAlignment="1"/>
    <xf numFmtId="0" fontId="8" fillId="0" borderId="14" xfId="0" applyFont="1" applyFill="1" applyBorder="1" applyAlignment="1"/>
    <xf numFmtId="165" fontId="5" fillId="0" borderId="14" xfId="1" applyNumberFormat="1" applyFont="1" applyFill="1" applyBorder="1" applyAlignment="1"/>
    <xf numFmtId="9" fontId="5" fillId="0" borderId="14" xfId="0" applyNumberFormat="1" applyFont="1" applyFill="1" applyBorder="1" applyAlignment="1"/>
    <xf numFmtId="176" fontId="5" fillId="0" borderId="14" xfId="9" applyNumberFormat="1" applyFont="1" applyFill="1" applyBorder="1" applyAlignment="1"/>
    <xf numFmtId="0" fontId="10" fillId="0" borderId="0" xfId="0" applyFont="1" applyBorder="1" applyAlignment="1">
      <alignment horizontal="center"/>
    </xf>
    <xf numFmtId="9" fontId="10" fillId="6" borderId="1" xfId="0" applyNumberFormat="1" applyFont="1" applyFill="1" applyBorder="1"/>
    <xf numFmtId="177" fontId="10" fillId="0" borderId="0" xfId="1" applyNumberFormat="1" applyFont="1" applyBorder="1"/>
    <xf numFmtId="1" fontId="8" fillId="0" borderId="0" xfId="1" applyNumberFormat="1" applyFont="1" applyFill="1" applyBorder="1" applyAlignment="1"/>
    <xf numFmtId="168" fontId="10" fillId="0" borderId="1" xfId="9" applyNumberFormat="1" applyFont="1" applyFill="1" applyBorder="1"/>
    <xf numFmtId="0" fontId="5" fillId="0" borderId="22" xfId="0" applyFont="1" applyFill="1" applyBorder="1"/>
    <xf numFmtId="0" fontId="5" fillId="0" borderId="22" xfId="0" applyFont="1" applyBorder="1"/>
    <xf numFmtId="0" fontId="5" fillId="0" borderId="17" xfId="0" applyFont="1" applyBorder="1"/>
    <xf numFmtId="0" fontId="5" fillId="0" borderId="24" xfId="0" applyFont="1" applyBorder="1" applyAlignment="1">
      <alignment horizontal="left"/>
    </xf>
    <xf numFmtId="0" fontId="8" fillId="0" borderId="22" xfId="0" applyFont="1" applyBorder="1"/>
    <xf numFmtId="0" fontId="5" fillId="0" borderId="25" xfId="0" applyFont="1" applyBorder="1"/>
    <xf numFmtId="9" fontId="21" fillId="6" borderId="26" xfId="0" applyNumberFormat="1" applyFont="1" applyFill="1" applyBorder="1" applyAlignment="1">
      <alignment horizontal="center"/>
    </xf>
    <xf numFmtId="9" fontId="21" fillId="6" borderId="28" xfId="0" applyNumberFormat="1" applyFont="1" applyFill="1" applyBorder="1" applyAlignment="1">
      <alignment horizontal="center"/>
    </xf>
    <xf numFmtId="165" fontId="21" fillId="6" borderId="22" xfId="0" applyNumberFormat="1" applyFont="1" applyFill="1" applyBorder="1" applyAlignment="1">
      <alignment horizontal="center"/>
    </xf>
    <xf numFmtId="39" fontId="9" fillId="0" borderId="29" xfId="0" applyNumberFormat="1" applyFont="1" applyBorder="1"/>
    <xf numFmtId="0" fontId="5" fillId="0" borderId="2" xfId="0" applyFont="1" applyBorder="1"/>
    <xf numFmtId="9" fontId="21" fillId="6" borderId="30" xfId="0" applyNumberFormat="1" applyFont="1" applyFill="1" applyBorder="1" applyAlignment="1">
      <alignment horizontal="center"/>
    </xf>
    <xf numFmtId="9" fontId="21" fillId="6" borderId="31" xfId="0" applyNumberFormat="1" applyFont="1" applyFill="1" applyBorder="1" applyAlignment="1">
      <alignment horizontal="center"/>
    </xf>
    <xf numFmtId="165" fontId="21" fillId="6" borderId="27" xfId="0" applyNumberFormat="1" applyFont="1" applyFill="1" applyBorder="1" applyAlignment="1">
      <alignment horizontal="center" vertical="center"/>
    </xf>
    <xf numFmtId="37" fontId="5" fillId="0" borderId="0" xfId="0" applyNumberFormat="1" applyFont="1" applyBorder="1"/>
    <xf numFmtId="37" fontId="5" fillId="0" borderId="1" xfId="0" applyNumberFormat="1" applyFont="1" applyBorder="1"/>
    <xf numFmtId="37" fontId="5" fillId="0" borderId="17" xfId="0" applyNumberFormat="1" applyFont="1" applyBorder="1"/>
    <xf numFmtId="0" fontId="5" fillId="0" borderId="17" xfId="0" applyFont="1" applyFill="1" applyBorder="1"/>
    <xf numFmtId="0" fontId="10" fillId="6" borderId="0" xfId="0" applyFont="1" applyFill="1" applyBorder="1"/>
    <xf numFmtId="167" fontId="10" fillId="5" borderId="1" xfId="0" applyNumberFormat="1" applyFont="1" applyFill="1" applyBorder="1"/>
    <xf numFmtId="167" fontId="10" fillId="5" borderId="4" xfId="0" applyNumberFormat="1" applyFont="1" applyFill="1" applyBorder="1"/>
    <xf numFmtId="172" fontId="10" fillId="5" borderId="1" xfId="0" applyNumberFormat="1" applyFont="1" applyFill="1" applyBorder="1"/>
    <xf numFmtId="172" fontId="10" fillId="5" borderId="17" xfId="0" applyNumberFormat="1" applyFont="1" applyFill="1" applyBorder="1"/>
    <xf numFmtId="0" fontId="0" fillId="7" borderId="0" xfId="0" applyFill="1"/>
    <xf numFmtId="5" fontId="10" fillId="0" borderId="14" xfId="2" applyNumberFormat="1" applyFont="1" applyFill="1" applyBorder="1" applyAlignment="1">
      <alignment horizontal="center"/>
    </xf>
    <xf numFmtId="181" fontId="11" fillId="0" borderId="0" xfId="0" applyNumberFormat="1" applyFont="1" applyBorder="1" applyAlignment="1">
      <alignment horizontal="center"/>
    </xf>
    <xf numFmtId="0" fontId="10" fillId="0" borderId="0" xfId="12" applyFont="1" applyBorder="1" applyAlignment="1">
      <alignment horizontal="center"/>
    </xf>
    <xf numFmtId="181" fontId="5" fillId="4" borderId="0" xfId="0" applyNumberFormat="1" applyFont="1" applyFill="1" applyBorder="1" applyAlignment="1">
      <alignment horizontal="center"/>
    </xf>
    <xf numFmtId="181" fontId="5" fillId="4" borderId="0" xfId="0" applyNumberFormat="1" applyFont="1" applyFill="1" applyAlignment="1">
      <alignment horizontal="center"/>
    </xf>
    <xf numFmtId="181" fontId="5" fillId="0" borderId="0" xfId="1" applyNumberFormat="1" applyFont="1" applyFill="1" applyBorder="1" applyAlignment="1">
      <alignment horizontal="center"/>
    </xf>
    <xf numFmtId="181" fontId="5" fillId="0" borderId="0" xfId="0" applyNumberFormat="1" applyFont="1" applyFill="1" applyBorder="1" applyAlignment="1">
      <alignment horizontal="center"/>
    </xf>
    <xf numFmtId="0" fontId="5" fillId="0" borderId="0" xfId="0" applyFont="1" applyFill="1" applyBorder="1" applyAlignment="1">
      <alignment horizontal="center"/>
    </xf>
    <xf numFmtId="181" fontId="8" fillId="0" borderId="0" xfId="0" applyNumberFormat="1" applyFont="1" applyFill="1" applyBorder="1" applyAlignment="1">
      <alignment horizontal="center"/>
    </xf>
    <xf numFmtId="0" fontId="8" fillId="0" borderId="0" xfId="0" applyFont="1" applyFill="1" applyBorder="1" applyAlignment="1">
      <alignment horizontal="center"/>
    </xf>
    <xf numFmtId="181" fontId="10" fillId="0" borderId="14" xfId="9" applyNumberFormat="1" applyFont="1" applyFill="1" applyBorder="1" applyAlignment="1">
      <alignment horizontal="center"/>
    </xf>
    <xf numFmtId="181" fontId="5" fillId="0" borderId="0" xfId="0" applyNumberFormat="1" applyFont="1" applyAlignment="1">
      <alignment horizontal="center"/>
    </xf>
    <xf numFmtId="181" fontId="5" fillId="0" borderId="0" xfId="0" applyNumberFormat="1" applyFont="1" applyFill="1" applyAlignment="1">
      <alignment horizontal="center"/>
    </xf>
    <xf numFmtId="0" fontId="5" fillId="0" borderId="0" xfId="0" applyFont="1" applyFill="1" applyAlignment="1">
      <alignment horizontal="center"/>
    </xf>
    <xf numFmtId="0" fontId="5" fillId="0" borderId="0" xfId="0" applyFont="1" applyAlignment="1">
      <alignment horizontal="center"/>
    </xf>
    <xf numFmtId="37" fontId="8" fillId="0" borderId="0" xfId="0" applyNumberFormat="1" applyFont="1" applyBorder="1"/>
    <xf numFmtId="0" fontId="8" fillId="0" borderId="10" xfId="0" applyFont="1" applyFill="1" applyBorder="1"/>
    <xf numFmtId="37" fontId="8" fillId="0" borderId="10" xfId="0" applyNumberFormat="1" applyFont="1" applyBorder="1"/>
    <xf numFmtId="0" fontId="18" fillId="0" borderId="0" xfId="0" applyFont="1" applyFill="1"/>
    <xf numFmtId="0" fontId="25" fillId="0" borderId="0" xfId="0" applyFont="1"/>
    <xf numFmtId="5" fontId="10" fillId="0" borderId="0" xfId="2" applyNumberFormat="1" applyFont="1" applyFill="1" applyBorder="1" applyAlignment="1">
      <alignment horizontal="center"/>
    </xf>
    <xf numFmtId="43" fontId="5" fillId="0" borderId="14" xfId="9" applyNumberFormat="1" applyFont="1" applyFill="1" applyBorder="1" applyAlignment="1"/>
    <xf numFmtId="0" fontId="26" fillId="0" borderId="0" xfId="0" applyFont="1"/>
    <xf numFmtId="0" fontId="27" fillId="0" borderId="0" xfId="0" applyFont="1" applyAlignment="1">
      <alignment horizontal="left" vertical="center" readingOrder="1"/>
    </xf>
    <xf numFmtId="0" fontId="26" fillId="7" borderId="0" xfId="0" applyFont="1" applyFill="1"/>
    <xf numFmtId="0" fontId="27" fillId="7" borderId="0" xfId="0" applyFont="1" applyFill="1" applyAlignment="1">
      <alignment horizontal="left" vertical="center" readingOrder="1"/>
    </xf>
    <xf numFmtId="0" fontId="0" fillId="0" borderId="0" xfId="0" applyFill="1"/>
    <xf numFmtId="165" fontId="10" fillId="5" borderId="1" xfId="0" applyNumberFormat="1" applyFont="1" applyFill="1" applyBorder="1"/>
    <xf numFmtId="2" fontId="10" fillId="5" borderId="1" xfId="0" applyNumberFormat="1" applyFont="1" applyFill="1" applyBorder="1"/>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2" fontId="24" fillId="0" borderId="0" xfId="1" applyNumberFormat="1" applyFont="1" applyFill="1" applyBorder="1" applyAlignment="1">
      <alignment horizontal="center"/>
    </xf>
  </cellXfs>
  <cellStyles count="32">
    <cellStyle name="Comma" xfId="9" builtinId="3"/>
    <cellStyle name="Comma 10" xfId="2"/>
    <cellStyle name="Comma 2" xfId="15"/>
    <cellStyle name="Comma 2 2" xfId="25"/>
    <cellStyle name="Comma 2 2 2" xfId="30"/>
    <cellStyle name="Comma 3" xfId="19"/>
    <cellStyle name="Currency [0] 2" xfId="4"/>
    <cellStyle name="Currency 2" xfId="14"/>
    <cellStyle name="Currency 3" xfId="13"/>
    <cellStyle name="Currency 4" xfId="21"/>
    <cellStyle name="Currency 6" xfId="7"/>
    <cellStyle name="Currency 8" xfId="6"/>
    <cellStyle name="Hyperlink 2" xfId="28"/>
    <cellStyle name="Normal" xfId="0" builtinId="0"/>
    <cellStyle name="Normal 11" xfId="3"/>
    <cellStyle name="Normal 2" xfId="23"/>
    <cellStyle name="Normal 2 2" xfId="26"/>
    <cellStyle name="Normal 2 2 2" xfId="29"/>
    <cellStyle name="Normal 22" xfId="5"/>
    <cellStyle name="Normal 24" xfId="8"/>
    <cellStyle name="Normal 269" xfId="10"/>
    <cellStyle name="Normal 269 2" xfId="16"/>
    <cellStyle name="Normal 273" xfId="11"/>
    <cellStyle name="Normal 273 2" xfId="17"/>
    <cellStyle name="Normal 285" xfId="12"/>
    <cellStyle name="Normal 285 2" xfId="18"/>
    <cellStyle name="Normal 3" xfId="20"/>
    <cellStyle name="Percent" xfId="1" builtinId="5"/>
    <cellStyle name="Percent 2" xfId="24"/>
    <cellStyle name="Percent 2 2" xfId="27"/>
    <cellStyle name="Percent 2 2 2" xfId="31"/>
    <cellStyle name="Percent 3" xfId="22"/>
  </cellStyles>
  <dxfs count="7">
    <dxf>
      <fill>
        <patternFill patternType="lightUp">
          <fgColor theme="0" tint="-0.499984740745262"/>
        </patternFill>
      </fill>
    </dxf>
    <dxf>
      <fill>
        <patternFill patternType="lightUp"/>
      </fill>
    </dxf>
    <dxf>
      <fill>
        <patternFill patternType="lightUp">
          <fgColor theme="0" tint="-0.499984740745262"/>
        </patternFill>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200"/>
              <a:t>1. Average Network Wires Charge to  Example Consumer ($/Month)</a:t>
            </a:r>
          </a:p>
        </c:rich>
      </c:tx>
      <c:overlay val="0"/>
    </c:title>
    <c:autoTitleDeleted val="0"/>
    <c:plotArea>
      <c:layout/>
      <c:lineChart>
        <c:grouping val="standard"/>
        <c:varyColors val="0"/>
        <c:ser>
          <c:idx val="0"/>
          <c:order val="0"/>
          <c:tx>
            <c:v>Current</c:v>
          </c:tx>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Projection'!$H$19:$AA$19</c:f>
              <c:numCache>
                <c:formatCode>#,##0_);\(#,##0\)</c:formatCode>
                <c:ptCount val="20"/>
                <c:pt idx="0">
                  <c:v>378370.8</c:v>
                </c:pt>
                <c:pt idx="1">
                  <c:v>364784.4</c:v>
                </c:pt>
                <c:pt idx="2">
                  <c:v>371994</c:v>
                </c:pt>
                <c:pt idx="3">
                  <c:v>378904.8</c:v>
                </c:pt>
                <c:pt idx="4">
                  <c:v>402529.2</c:v>
                </c:pt>
                <c:pt idx="5">
                  <c:v>418590</c:v>
                </c:pt>
                <c:pt idx="6">
                  <c:v>419875.2</c:v>
                </c:pt>
                <c:pt idx="7">
                  <c:v>423381.60000000003</c:v>
                </c:pt>
                <c:pt idx="8">
                  <c:v>423963.60000000003</c:v>
                </c:pt>
                <c:pt idx="9">
                  <c:v>426684</c:v>
                </c:pt>
                <c:pt idx="10">
                  <c:v>428982</c:v>
                </c:pt>
                <c:pt idx="11">
                  <c:v>426154.80000000005</c:v>
                </c:pt>
                <c:pt idx="12">
                  <c:v>422600.4</c:v>
                </c:pt>
                <c:pt idx="13">
                  <c:v>421262.4</c:v>
                </c:pt>
                <c:pt idx="14">
                  <c:v>417630</c:v>
                </c:pt>
                <c:pt idx="15">
                  <c:v>416850</c:v>
                </c:pt>
                <c:pt idx="16">
                  <c:v>414357.6</c:v>
                </c:pt>
                <c:pt idx="17">
                  <c:v>414759.6</c:v>
                </c:pt>
                <c:pt idx="18">
                  <c:v>412616.39999999997</c:v>
                </c:pt>
                <c:pt idx="19">
                  <c:v>411757.19999999995</c:v>
                </c:pt>
              </c:numCache>
            </c:numRef>
          </c:val>
          <c:smooth val="0"/>
        </c:ser>
        <c:ser>
          <c:idx val="1"/>
          <c:order val="1"/>
          <c:tx>
            <c:v>Option 1 - Cost</c:v>
          </c:tx>
          <c:spPr>
            <a:ln>
              <a:prstDash val="sysDot"/>
            </a:ln>
          </c:spPr>
          <c:marker>
            <c:symbol val="none"/>
          </c:marker>
          <c:val>
            <c:numRef>
              <c:f>'Bill Projection'!$H$33:$AA$33</c:f>
              <c:numCache>
                <c:formatCode>#,##0_);\(#,##0\)</c:formatCode>
                <c:ptCount val="20"/>
                <c:pt idx="0">
                  <c:v>396602.78372818418</c:v>
                </c:pt>
                <c:pt idx="1">
                  <c:v>382316.3229767094</c:v>
                </c:pt>
                <c:pt idx="2">
                  <c:v>390058.00246252108</c:v>
                </c:pt>
                <c:pt idx="3">
                  <c:v>397191.74400882958</c:v>
                </c:pt>
                <c:pt idx="4">
                  <c:v>422086.87062400323</c:v>
                </c:pt>
                <c:pt idx="5">
                  <c:v>438776.9842380411</c:v>
                </c:pt>
                <c:pt idx="6">
                  <c:v>440069.67007732473</c:v>
                </c:pt>
                <c:pt idx="7">
                  <c:v>443707.25766355393</c:v>
                </c:pt>
                <c:pt idx="8">
                  <c:v>444351.06687546999</c:v>
                </c:pt>
                <c:pt idx="9">
                  <c:v>447130.1195335777</c:v>
                </c:pt>
                <c:pt idx="10">
                  <c:v>449762.83351542288</c:v>
                </c:pt>
                <c:pt idx="11">
                  <c:v>446727.50943151827</c:v>
                </c:pt>
                <c:pt idx="12">
                  <c:v>443002.95282520424</c:v>
                </c:pt>
                <c:pt idx="13">
                  <c:v>441473.13428394188</c:v>
                </c:pt>
                <c:pt idx="14">
                  <c:v>437681.4197548487</c:v>
                </c:pt>
                <c:pt idx="15">
                  <c:v>436787.29953707586</c:v>
                </c:pt>
                <c:pt idx="16">
                  <c:v>434301.4199225218</c:v>
                </c:pt>
                <c:pt idx="17">
                  <c:v>434750.69356600125</c:v>
                </c:pt>
                <c:pt idx="18">
                  <c:v>432495.07088834001</c:v>
                </c:pt>
                <c:pt idx="19">
                  <c:v>431724.10580771638</c:v>
                </c:pt>
              </c:numCache>
            </c:numRef>
          </c:val>
          <c:smooth val="0"/>
        </c:ser>
        <c:ser>
          <c:idx val="2"/>
          <c:order val="2"/>
          <c:tx>
            <c:v>Option 2 - Benefit</c:v>
          </c:tx>
          <c:spPr>
            <a:ln>
              <a:prstDash val="dashDot"/>
            </a:ln>
          </c:spPr>
          <c:marker>
            <c:symbol val="none"/>
          </c:marker>
          <c:val>
            <c:numRef>
              <c:f>'Bill Projection'!$H$42:$AA$42</c:f>
              <c:numCache>
                <c:formatCode>#,##0_);\(#,##0\)</c:formatCode>
                <c:ptCount val="20"/>
                <c:pt idx="0">
                  <c:v>361512.38261951588</c:v>
                </c:pt>
                <c:pt idx="1">
                  <c:v>355313.2298380172</c:v>
                </c:pt>
                <c:pt idx="2">
                  <c:v>362508.11265405128</c:v>
                </c:pt>
                <c:pt idx="3">
                  <c:v>369137.99633234495</c:v>
                </c:pt>
                <c:pt idx="4">
                  <c:v>392274.77421300742</c:v>
                </c:pt>
                <c:pt idx="5">
                  <c:v>407786.06111908215</c:v>
                </c:pt>
                <c:pt idx="6">
                  <c:v>408987.44424901379</c:v>
                </c:pt>
                <c:pt idx="7">
                  <c:v>412368.1081558502</c:v>
                </c:pt>
                <c:pt idx="8">
                  <c:v>412966.44496947166</c:v>
                </c:pt>
                <c:pt idx="9">
                  <c:v>415549.21247506503</c:v>
                </c:pt>
                <c:pt idx="10">
                  <c:v>417995.97724002664</c:v>
                </c:pt>
                <c:pt idx="11">
                  <c:v>415175.03882060439</c:v>
                </c:pt>
                <c:pt idx="12">
                  <c:v>411713.54853632848</c:v>
                </c:pt>
                <c:pt idx="13">
                  <c:v>410291.78144375491</c:v>
                </c:pt>
                <c:pt idx="14">
                  <c:v>406767.87661681429</c:v>
                </c:pt>
                <c:pt idx="15">
                  <c:v>405936.90832342097</c:v>
                </c:pt>
                <c:pt idx="16">
                  <c:v>403626.60697934392</c:v>
                </c:pt>
                <c:pt idx="17">
                  <c:v>404044.14831815695</c:v>
                </c:pt>
                <c:pt idx="18">
                  <c:v>401947.84080856497</c:v>
                </c:pt>
                <c:pt idx="19">
                  <c:v>401231.32917559083</c:v>
                </c:pt>
              </c:numCache>
            </c:numRef>
          </c:val>
          <c:smooth val="0"/>
        </c:ser>
        <c:ser>
          <c:idx val="3"/>
          <c:order val="3"/>
          <c:tx>
            <c:v>Option 3 - Cost &amp; Benefit</c:v>
          </c:tx>
          <c:spPr>
            <a:ln>
              <a:prstDash val="sysDash"/>
            </a:ln>
          </c:spPr>
          <c:marker>
            <c:symbol val="none"/>
          </c:marker>
          <c:val>
            <c:numRef>
              <c:f>'Bill Projection'!$H$51:$AA$51</c:f>
              <c:numCache>
                <c:formatCode>#,##0_);\(#,##0\)</c:formatCode>
                <c:ptCount val="20"/>
                <c:pt idx="0">
                  <c:v>342316.20181594777</c:v>
                </c:pt>
                <c:pt idx="1">
                  <c:v>329985.2571466607</c:v>
                </c:pt>
                <c:pt idx="2">
                  <c:v>336667.26349151717</c:v>
                </c:pt>
                <c:pt idx="3">
                  <c:v>342824.54581796355</c:v>
                </c:pt>
                <c:pt idx="4">
                  <c:v>364312.05305763532</c:v>
                </c:pt>
                <c:pt idx="5">
                  <c:v>378717.64105307858</c:v>
                </c:pt>
                <c:pt idx="6">
                  <c:v>379833.38538166124</c:v>
                </c:pt>
                <c:pt idx="7">
                  <c:v>382973.0637131785</c:v>
                </c:pt>
                <c:pt idx="8">
                  <c:v>383528.74898105673</c:v>
                </c:pt>
                <c:pt idx="9">
                  <c:v>385927.40776410233</c:v>
                </c:pt>
                <c:pt idx="10">
                  <c:v>388199.75855867122</c:v>
                </c:pt>
                <c:pt idx="11">
                  <c:v>385579.90651952161</c:v>
                </c:pt>
                <c:pt idx="12">
                  <c:v>382365.1633981124</c:v>
                </c:pt>
                <c:pt idx="13">
                  <c:v>381044.74484837404</c:v>
                </c:pt>
                <c:pt idx="14">
                  <c:v>377772.03631171619</c:v>
                </c:pt>
                <c:pt idx="15">
                  <c:v>377000.30235151132</c:v>
                </c:pt>
                <c:pt idx="16">
                  <c:v>374854.68738676852</c:v>
                </c:pt>
                <c:pt idx="17">
                  <c:v>375242.46491512109</c:v>
                </c:pt>
                <c:pt idx="18">
                  <c:v>373295.58955411485</c:v>
                </c:pt>
                <c:pt idx="19">
                  <c:v>372630.15338230855</c:v>
                </c:pt>
              </c:numCache>
            </c:numRef>
          </c:val>
          <c:smooth val="0"/>
        </c:ser>
        <c:dLbls>
          <c:showLegendKey val="0"/>
          <c:showVal val="0"/>
          <c:showCatName val="0"/>
          <c:showSerName val="0"/>
          <c:showPercent val="0"/>
          <c:showBubbleSize val="0"/>
        </c:dLbls>
        <c:marker val="1"/>
        <c:smooth val="0"/>
        <c:axId val="102205312"/>
        <c:axId val="102206848"/>
      </c:lineChart>
      <c:catAx>
        <c:axId val="102205312"/>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02206848"/>
        <c:crosses val="autoZero"/>
        <c:auto val="1"/>
        <c:lblAlgn val="ctr"/>
        <c:lblOffset val="100"/>
        <c:noMultiLvlLbl val="0"/>
      </c:catAx>
      <c:valAx>
        <c:axId val="102206848"/>
        <c:scaling>
          <c:orientation val="minMax"/>
          <c:max val="500000"/>
        </c:scaling>
        <c:delete val="0"/>
        <c:axPos val="l"/>
        <c:majorGridlines>
          <c:spPr>
            <a:ln>
              <a:solidFill>
                <a:schemeClr val="bg1">
                  <a:lumMod val="75000"/>
                </a:schemeClr>
              </a:solidFill>
            </a:ln>
          </c:spPr>
        </c:majorGridlines>
        <c:title>
          <c:tx>
            <c:rich>
              <a:bodyPr rot="-5400000" vert="horz"/>
              <a:lstStyle/>
              <a:p>
                <a:pPr>
                  <a:defRPr/>
                </a:pPr>
                <a:r>
                  <a:rPr lang="en-US"/>
                  <a:t>Average Network</a:t>
                </a:r>
                <a:r>
                  <a:rPr lang="en-US" baseline="0"/>
                  <a:t> Wires Charge</a:t>
                </a:r>
                <a:r>
                  <a:rPr lang="en-US"/>
                  <a:t> ($/Mionth)</a:t>
                </a:r>
              </a:p>
            </c:rich>
          </c:tx>
          <c:layout>
            <c:manualLayout>
              <c:xMode val="edge"/>
              <c:yMode val="edge"/>
              <c:x val="3.0817607773663564E-2"/>
              <c:y val="0.27825329357373357"/>
            </c:manualLayout>
          </c:layout>
          <c:overlay val="0"/>
        </c:title>
        <c:numFmt formatCode="&quot;$&quot;#,##0_);\(&quot;$&quot;#,##0\)" sourceLinked="0"/>
        <c:majorTickMark val="out"/>
        <c:minorTickMark val="none"/>
        <c:tickLblPos val="nextTo"/>
        <c:crossAx val="102205312"/>
        <c:crosses val="autoZero"/>
        <c:crossBetween val="between"/>
      </c:valAx>
      <c:spPr>
        <a:ln w="12700">
          <a:solidFill>
            <a:schemeClr val="tx1"/>
          </a:solidFill>
        </a:ln>
      </c:spPr>
    </c:plotArea>
    <c:legend>
      <c:legendPos val="b"/>
      <c:overlay val="0"/>
    </c:legend>
    <c:plotVisOnly val="1"/>
    <c:dispBlanksAs val="gap"/>
    <c:showDLblsOverMax val="0"/>
  </c:chart>
  <c:printSettings>
    <c:headerFooter/>
    <c:pageMargins b="0.75" l="0.5" r="0.5" t="0.75" header="0.5" footer="0.25"/>
    <c:pageSetup paperSize="11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100"/>
              <a:t>2. Average Total Transmission</a:t>
            </a:r>
            <a:r>
              <a:rPr lang="en-US" sz="1100" baseline="0"/>
              <a:t> Tariff Charge to Example Consumer </a:t>
            </a:r>
            <a:r>
              <a:rPr lang="en-US" sz="1100"/>
              <a:t>($/Month)</a:t>
            </a:r>
          </a:p>
        </c:rich>
      </c:tx>
      <c:overlay val="0"/>
    </c:title>
    <c:autoTitleDeleted val="0"/>
    <c:plotArea>
      <c:layout/>
      <c:lineChart>
        <c:grouping val="standard"/>
        <c:varyColors val="0"/>
        <c:ser>
          <c:idx val="0"/>
          <c:order val="0"/>
          <c:tx>
            <c:v>Current</c:v>
          </c:tx>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Projection'!$H$26:$AA$26</c:f>
              <c:numCache>
                <c:formatCode>#,##0_);\(#,##0\)</c:formatCode>
                <c:ptCount val="20"/>
                <c:pt idx="0">
                  <c:v>552526.94200000004</c:v>
                </c:pt>
                <c:pt idx="1">
                  <c:v>543544.42412576068</c:v>
                </c:pt>
                <c:pt idx="2">
                  <c:v>556024.61299600021</c:v>
                </c:pt>
                <c:pt idx="3">
                  <c:v>572352.07073471975</c:v>
                </c:pt>
                <c:pt idx="4">
                  <c:v>607403.39378733351</c:v>
                </c:pt>
                <c:pt idx="5">
                  <c:v>629426.69542240037</c:v>
                </c:pt>
                <c:pt idx="6">
                  <c:v>637177.22354400018</c:v>
                </c:pt>
                <c:pt idx="7">
                  <c:v>647453.72569563997</c:v>
                </c:pt>
                <c:pt idx="8">
                  <c:v>650608.4105301802</c:v>
                </c:pt>
                <c:pt idx="9">
                  <c:v>658060.40231936029</c:v>
                </c:pt>
                <c:pt idx="10">
                  <c:v>664783.84108583978</c:v>
                </c:pt>
                <c:pt idx="11">
                  <c:v>666828.41307456</c:v>
                </c:pt>
                <c:pt idx="12">
                  <c:v>665262.87306682731</c:v>
                </c:pt>
                <c:pt idx="13">
                  <c:v>666866.11546279991</c:v>
                </c:pt>
                <c:pt idx="14">
                  <c:v>665217.16278879985</c:v>
                </c:pt>
                <c:pt idx="15">
                  <c:v>667105.95054625254</c:v>
                </c:pt>
                <c:pt idx="16">
                  <c:v>667119.89920081082</c:v>
                </c:pt>
                <c:pt idx="17">
                  <c:v>670848.81583761261</c:v>
                </c:pt>
                <c:pt idx="18">
                  <c:v>671213.25734728202</c:v>
                </c:pt>
                <c:pt idx="19">
                  <c:v>673344.3898952211</c:v>
                </c:pt>
              </c:numCache>
            </c:numRef>
          </c:val>
          <c:smooth val="0"/>
        </c:ser>
        <c:ser>
          <c:idx val="1"/>
          <c:order val="1"/>
          <c:tx>
            <c:v>Option 1 - Cost</c:v>
          </c:tx>
          <c:spPr>
            <a:ln>
              <a:prstDash val="sysDot"/>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Projection'!$H$35:$AA$35</c:f>
              <c:numCache>
                <c:formatCode>#,##0_);\(#,##0\)</c:formatCode>
                <c:ptCount val="20"/>
                <c:pt idx="0">
                  <c:v>570758.92572818417</c:v>
                </c:pt>
                <c:pt idx="1">
                  <c:v>561076.34710247</c:v>
                </c:pt>
                <c:pt idx="2">
                  <c:v>574088.61545852129</c:v>
                </c:pt>
                <c:pt idx="3">
                  <c:v>590639.01474354928</c:v>
                </c:pt>
                <c:pt idx="4">
                  <c:v>626961.06441133667</c:v>
                </c:pt>
                <c:pt idx="5">
                  <c:v>649613.67966044147</c:v>
                </c:pt>
                <c:pt idx="6">
                  <c:v>657371.69362132484</c:v>
                </c:pt>
                <c:pt idx="7">
                  <c:v>667779.38335919392</c:v>
                </c:pt>
                <c:pt idx="8">
                  <c:v>670995.87740565022</c:v>
                </c:pt>
                <c:pt idx="9">
                  <c:v>678506.52185293799</c:v>
                </c:pt>
                <c:pt idx="10">
                  <c:v>685564.67460126267</c:v>
                </c:pt>
                <c:pt idx="11">
                  <c:v>687401.12250607822</c:v>
                </c:pt>
                <c:pt idx="12">
                  <c:v>685665.42589203152</c:v>
                </c:pt>
                <c:pt idx="13">
                  <c:v>687076.8497467417</c:v>
                </c:pt>
                <c:pt idx="14">
                  <c:v>685268.58254364855</c:v>
                </c:pt>
                <c:pt idx="15">
                  <c:v>687043.25008332846</c:v>
                </c:pt>
                <c:pt idx="16">
                  <c:v>687063.71912333264</c:v>
                </c:pt>
                <c:pt idx="17">
                  <c:v>690839.90940361388</c:v>
                </c:pt>
                <c:pt idx="18">
                  <c:v>691091.92823562212</c:v>
                </c:pt>
                <c:pt idx="19">
                  <c:v>693311.29570293752</c:v>
                </c:pt>
              </c:numCache>
            </c:numRef>
          </c:val>
          <c:smooth val="0"/>
        </c:ser>
        <c:ser>
          <c:idx val="2"/>
          <c:order val="2"/>
          <c:tx>
            <c:v>Option 2 - Benefit</c:v>
          </c:tx>
          <c:spPr>
            <a:ln>
              <a:prstDash val="dashDot"/>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Projection'!$H$44:$AA$44</c:f>
              <c:numCache>
                <c:formatCode>#,##0_);\(#,##0\)</c:formatCode>
                <c:ptCount val="20"/>
                <c:pt idx="0">
                  <c:v>535668.52461951587</c:v>
                </c:pt>
                <c:pt idx="1">
                  <c:v>534073.2539637778</c:v>
                </c:pt>
                <c:pt idx="2">
                  <c:v>546538.72565005149</c:v>
                </c:pt>
                <c:pt idx="3">
                  <c:v>562585.26706706465</c:v>
                </c:pt>
                <c:pt idx="4">
                  <c:v>597148.96800034086</c:v>
                </c:pt>
                <c:pt idx="5">
                  <c:v>618622.75654148252</c:v>
                </c:pt>
                <c:pt idx="6">
                  <c:v>626289.4677930139</c:v>
                </c:pt>
                <c:pt idx="7">
                  <c:v>636440.23385149019</c:v>
                </c:pt>
                <c:pt idx="8">
                  <c:v>639611.25549965189</c:v>
                </c:pt>
                <c:pt idx="9">
                  <c:v>646925.61479442543</c:v>
                </c:pt>
                <c:pt idx="10">
                  <c:v>653797.81832586648</c:v>
                </c:pt>
                <c:pt idx="11">
                  <c:v>655848.6518951644</c:v>
                </c:pt>
                <c:pt idx="12">
                  <c:v>654376.02160315576</c:v>
                </c:pt>
                <c:pt idx="13">
                  <c:v>655895.49690655479</c:v>
                </c:pt>
                <c:pt idx="14">
                  <c:v>654355.03940561414</c:v>
                </c:pt>
                <c:pt idx="15">
                  <c:v>656192.85886967345</c:v>
                </c:pt>
                <c:pt idx="16">
                  <c:v>656388.90618015477</c:v>
                </c:pt>
                <c:pt idx="17">
                  <c:v>660133.36415576958</c:v>
                </c:pt>
                <c:pt idx="18">
                  <c:v>660544.69815584703</c:v>
                </c:pt>
                <c:pt idx="19">
                  <c:v>662818.51907081204</c:v>
                </c:pt>
              </c:numCache>
            </c:numRef>
          </c:val>
          <c:smooth val="0"/>
        </c:ser>
        <c:ser>
          <c:idx val="3"/>
          <c:order val="3"/>
          <c:tx>
            <c:v>Option 3- Cost &amp; Benefit</c:v>
          </c:tx>
          <c:spPr>
            <a:ln>
              <a:prstDash val="sysDash"/>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Projection'!$H$53:$AA$53</c:f>
              <c:numCache>
                <c:formatCode>#,##0_);\(#,##0\)</c:formatCode>
                <c:ptCount val="20"/>
                <c:pt idx="0">
                  <c:v>516472.34381594777</c:v>
                </c:pt>
                <c:pt idx="1">
                  <c:v>508745.28127242136</c:v>
                </c:pt>
                <c:pt idx="2">
                  <c:v>520697.87648751738</c:v>
                </c:pt>
                <c:pt idx="3">
                  <c:v>536271.81655268325</c:v>
                </c:pt>
                <c:pt idx="4">
                  <c:v>569186.24684496876</c:v>
                </c:pt>
                <c:pt idx="5">
                  <c:v>589554.33647547895</c:v>
                </c:pt>
                <c:pt idx="6">
                  <c:v>597135.40892566135</c:v>
                </c:pt>
                <c:pt idx="7">
                  <c:v>607045.18940881849</c:v>
                </c:pt>
                <c:pt idx="8">
                  <c:v>610173.55951123696</c:v>
                </c:pt>
                <c:pt idx="9">
                  <c:v>617303.81008346262</c:v>
                </c:pt>
                <c:pt idx="10">
                  <c:v>624001.59964451101</c:v>
                </c:pt>
                <c:pt idx="11">
                  <c:v>626253.51959408156</c:v>
                </c:pt>
                <c:pt idx="12">
                  <c:v>625027.63646493969</c:v>
                </c:pt>
                <c:pt idx="13">
                  <c:v>626648.46031117393</c:v>
                </c:pt>
                <c:pt idx="14">
                  <c:v>625359.19910051604</c:v>
                </c:pt>
                <c:pt idx="15">
                  <c:v>627256.25289776386</c:v>
                </c:pt>
                <c:pt idx="16">
                  <c:v>627616.98658757936</c:v>
                </c:pt>
                <c:pt idx="17">
                  <c:v>631331.68075273372</c:v>
                </c:pt>
                <c:pt idx="18">
                  <c:v>631892.44690139696</c:v>
                </c:pt>
                <c:pt idx="19">
                  <c:v>634217.3432775297</c:v>
                </c:pt>
              </c:numCache>
            </c:numRef>
          </c:val>
          <c:smooth val="0"/>
        </c:ser>
        <c:dLbls>
          <c:showLegendKey val="0"/>
          <c:showVal val="0"/>
          <c:showCatName val="0"/>
          <c:showSerName val="0"/>
          <c:showPercent val="0"/>
          <c:showBubbleSize val="0"/>
        </c:dLbls>
        <c:marker val="1"/>
        <c:smooth val="0"/>
        <c:axId val="132254720"/>
        <c:axId val="132276992"/>
      </c:lineChart>
      <c:catAx>
        <c:axId val="132254720"/>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32276992"/>
        <c:crosses val="autoZero"/>
        <c:auto val="1"/>
        <c:lblAlgn val="ctr"/>
        <c:lblOffset val="100"/>
        <c:noMultiLvlLbl val="0"/>
      </c:catAx>
      <c:valAx>
        <c:axId val="132276992"/>
        <c:scaling>
          <c:orientation val="minMax"/>
        </c:scaling>
        <c:delete val="0"/>
        <c:axPos val="l"/>
        <c:majorGridlines>
          <c:spPr>
            <a:ln>
              <a:solidFill>
                <a:schemeClr val="bg1">
                  <a:lumMod val="75000"/>
                </a:schemeClr>
              </a:solidFill>
            </a:ln>
          </c:spPr>
        </c:majorGridlines>
        <c:title>
          <c:tx>
            <c:rich>
              <a:bodyPr rot="-5400000" vert="horz"/>
              <a:lstStyle/>
              <a:p>
                <a:pPr>
                  <a:defRPr/>
                </a:pPr>
                <a:r>
                  <a:rPr lang="en-US"/>
                  <a:t>Average Transmission</a:t>
                </a:r>
                <a:r>
                  <a:rPr lang="en-US" baseline="0"/>
                  <a:t> Bill</a:t>
                </a:r>
                <a:r>
                  <a:rPr lang="en-US"/>
                  <a:t> ($/Month)</a:t>
                </a:r>
              </a:p>
            </c:rich>
          </c:tx>
          <c:overlay val="0"/>
        </c:title>
        <c:numFmt formatCode="&quot;$&quot;#,##0_);\(&quot;$&quot;#,##0\)" sourceLinked="0"/>
        <c:majorTickMark val="out"/>
        <c:minorTickMark val="none"/>
        <c:tickLblPos val="nextTo"/>
        <c:crossAx val="132254720"/>
        <c:crosses val="autoZero"/>
        <c:crossBetween val="between"/>
      </c:valAx>
      <c:spPr>
        <a:ln w="12700">
          <a:solidFill>
            <a:schemeClr val="tx1"/>
          </a:solidFill>
        </a:ln>
      </c:spPr>
    </c:plotArea>
    <c:legend>
      <c:legendPos val="b"/>
      <c:overlay val="0"/>
    </c:legend>
    <c:plotVisOnly val="1"/>
    <c:dispBlanksAs val="gap"/>
    <c:showDLblsOverMax val="0"/>
  </c:chart>
  <c:printSettings>
    <c:headerFooter/>
    <c:pageMargins b="0.75" l="0.5" r="0.5" t="0.75" header="0.5" footer="0.25"/>
    <c:pageSetup paperSize="11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100"/>
              <a:t>3. Average Total Delivered Electricity </a:t>
            </a:r>
            <a:r>
              <a:rPr lang="en-US" sz="1100" baseline="0"/>
              <a:t>Charge to Example Consumer </a:t>
            </a:r>
            <a:r>
              <a:rPr lang="en-US" sz="1100"/>
              <a:t>($/Month)</a:t>
            </a:r>
          </a:p>
        </c:rich>
      </c:tx>
      <c:overlay val="0"/>
    </c:title>
    <c:autoTitleDeleted val="0"/>
    <c:plotArea>
      <c:layout>
        <c:manualLayout>
          <c:layoutTarget val="inner"/>
          <c:xMode val="edge"/>
          <c:yMode val="edge"/>
          <c:x val="0.18884797785014773"/>
          <c:y val="0.18577785658637622"/>
          <c:w val="0.78913944516866397"/>
          <c:h val="0.60921942029508847"/>
        </c:manualLayout>
      </c:layout>
      <c:lineChart>
        <c:grouping val="standard"/>
        <c:varyColors val="0"/>
        <c:ser>
          <c:idx val="0"/>
          <c:order val="0"/>
          <c:tx>
            <c:v>Current</c:v>
          </c:tx>
          <c:spPr>
            <a:ln w="19050"/>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Projection'!$H$28:$AA$28</c:f>
              <c:numCache>
                <c:formatCode>#,##0_);\(#,##0\)</c:formatCode>
                <c:ptCount val="20"/>
                <c:pt idx="0">
                  <c:v>1576570.942</c:v>
                </c:pt>
                <c:pt idx="1">
                  <c:v>1543627.3537257686</c:v>
                </c:pt>
                <c:pt idx="2">
                  <c:v>1589840.3289960031</c:v>
                </c:pt>
                <c:pt idx="3">
                  <c:v>1691533.8199347164</c:v>
                </c:pt>
                <c:pt idx="4">
                  <c:v>1783643.074120668</c:v>
                </c:pt>
                <c:pt idx="5">
                  <c:v>1823583.0874224044</c:v>
                </c:pt>
                <c:pt idx="6">
                  <c:v>1901443.6907440014</c:v>
                </c:pt>
                <c:pt idx="7">
                  <c:v>1975808.1972956392</c:v>
                </c:pt>
                <c:pt idx="8">
                  <c:v>2006430.9470383753</c:v>
                </c:pt>
                <c:pt idx="9">
                  <c:v>2059002.2571193643</c:v>
                </c:pt>
                <c:pt idx="10">
                  <c:v>2107065.6286858371</c:v>
                </c:pt>
                <c:pt idx="11">
                  <c:v>2173186.9426745595</c:v>
                </c:pt>
                <c:pt idx="12">
                  <c:v>2202893.3392580841</c:v>
                </c:pt>
                <c:pt idx="13">
                  <c:v>2242315.1674627978</c:v>
                </c:pt>
                <c:pt idx="14">
                  <c:v>2273522.1959887985</c:v>
                </c:pt>
                <c:pt idx="15">
                  <c:v>2307901.5575171509</c:v>
                </c:pt>
                <c:pt idx="16">
                  <c:v>2341063.595172436</c:v>
                </c:pt>
                <c:pt idx="17">
                  <c:v>2378609.1930605108</c:v>
                </c:pt>
                <c:pt idx="18">
                  <c:v>2413475.0011020992</c:v>
                </c:pt>
                <c:pt idx="19">
                  <c:v>2450802.4264817596</c:v>
                </c:pt>
              </c:numCache>
            </c:numRef>
          </c:val>
          <c:smooth val="0"/>
        </c:ser>
        <c:ser>
          <c:idx val="1"/>
          <c:order val="1"/>
          <c:tx>
            <c:v>Option 1 - Cost</c:v>
          </c:tx>
          <c:spPr>
            <a:ln w="19050">
              <a:prstDash val="sysDot"/>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Projection'!$H$37:$AA$37</c:f>
              <c:numCache>
                <c:formatCode>#,##0_);\(#,##0\)</c:formatCode>
                <c:ptCount val="20"/>
                <c:pt idx="0">
                  <c:v>1594802.9257281842</c:v>
                </c:pt>
                <c:pt idx="1">
                  <c:v>1561159.2767024781</c:v>
                </c:pt>
                <c:pt idx="2">
                  <c:v>1607904.3314585243</c:v>
                </c:pt>
                <c:pt idx="3">
                  <c:v>1709820.763943546</c:v>
                </c:pt>
                <c:pt idx="4">
                  <c:v>1803200.744744671</c:v>
                </c:pt>
                <c:pt idx="5">
                  <c:v>1843770.0716604455</c:v>
                </c:pt>
                <c:pt idx="6">
                  <c:v>1921638.1608213261</c:v>
                </c:pt>
                <c:pt idx="7">
                  <c:v>1996133.8549591932</c:v>
                </c:pt>
                <c:pt idx="8">
                  <c:v>2026818.4139138453</c:v>
                </c:pt>
                <c:pt idx="9">
                  <c:v>2079448.376652942</c:v>
                </c:pt>
                <c:pt idx="10">
                  <c:v>2127846.46220126</c:v>
                </c:pt>
                <c:pt idx="11">
                  <c:v>2193759.6521060779</c:v>
                </c:pt>
                <c:pt idx="12">
                  <c:v>2223295.8920832882</c:v>
                </c:pt>
                <c:pt idx="13">
                  <c:v>2262525.9017467396</c:v>
                </c:pt>
                <c:pt idx="14">
                  <c:v>2293573.6157436473</c:v>
                </c:pt>
                <c:pt idx="15">
                  <c:v>2327838.857054227</c:v>
                </c:pt>
                <c:pt idx="16">
                  <c:v>2361007.4150949577</c:v>
                </c:pt>
                <c:pt idx="17">
                  <c:v>2398600.2866265117</c:v>
                </c:pt>
                <c:pt idx="18">
                  <c:v>2433353.6719904393</c:v>
                </c:pt>
                <c:pt idx="19">
                  <c:v>2470769.3322894759</c:v>
                </c:pt>
              </c:numCache>
            </c:numRef>
          </c:val>
          <c:smooth val="0"/>
        </c:ser>
        <c:ser>
          <c:idx val="2"/>
          <c:order val="2"/>
          <c:tx>
            <c:v>Option 2 - Benefit</c:v>
          </c:tx>
          <c:spPr>
            <a:ln w="19050">
              <a:prstDash val="dashDot"/>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Projection'!$H$46:$AA$46</c:f>
              <c:numCache>
                <c:formatCode>#,##0_);\(#,##0\)</c:formatCode>
                <c:ptCount val="20"/>
                <c:pt idx="0">
                  <c:v>1559712.524619516</c:v>
                </c:pt>
                <c:pt idx="1">
                  <c:v>1534156.1835637856</c:v>
                </c:pt>
                <c:pt idx="2">
                  <c:v>1580354.4416500544</c:v>
                </c:pt>
                <c:pt idx="3">
                  <c:v>1681767.0162670612</c:v>
                </c:pt>
                <c:pt idx="4">
                  <c:v>1773388.6483336752</c:v>
                </c:pt>
                <c:pt idx="5">
                  <c:v>1812779.1485414864</c:v>
                </c:pt>
                <c:pt idx="6">
                  <c:v>1890555.9349930151</c:v>
                </c:pt>
                <c:pt idx="7">
                  <c:v>1964794.7054514894</c:v>
                </c:pt>
                <c:pt idx="8">
                  <c:v>1995433.792007847</c:v>
                </c:pt>
                <c:pt idx="9">
                  <c:v>2047867.4695944295</c:v>
                </c:pt>
                <c:pt idx="10">
                  <c:v>2096079.6059258638</c:v>
                </c:pt>
                <c:pt idx="11">
                  <c:v>2162207.1814951641</c:v>
                </c:pt>
                <c:pt idx="12">
                  <c:v>2192006.4877944123</c:v>
                </c:pt>
                <c:pt idx="13">
                  <c:v>2231344.5489065526</c:v>
                </c:pt>
                <c:pt idx="14">
                  <c:v>2262660.0726056127</c:v>
                </c:pt>
                <c:pt idx="15">
                  <c:v>2296988.4658405716</c:v>
                </c:pt>
                <c:pt idx="16">
                  <c:v>2330332.6021517799</c:v>
                </c:pt>
                <c:pt idx="17">
                  <c:v>2367893.7413786678</c:v>
                </c:pt>
                <c:pt idx="18">
                  <c:v>2402806.4419106641</c:v>
                </c:pt>
                <c:pt idx="19">
                  <c:v>2440276.5556573505</c:v>
                </c:pt>
              </c:numCache>
            </c:numRef>
          </c:val>
          <c:smooth val="0"/>
        </c:ser>
        <c:ser>
          <c:idx val="3"/>
          <c:order val="3"/>
          <c:tx>
            <c:v>Option 3 - Cost &amp; Benefit</c:v>
          </c:tx>
          <c:spPr>
            <a:ln w="19050">
              <a:prstDash val="sysDash"/>
            </a:ln>
          </c:spPr>
          <c:marker>
            <c:symbol val="none"/>
          </c:marker>
          <c:cat>
            <c:numRef>
              <c:f>'Bill Projection'!$H$16:$AA$16</c:f>
              <c:numCache>
                <c:formatCode>0</c:formatCode>
                <c:ptCount val="20"/>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numCache>
            </c:numRef>
          </c:cat>
          <c:val>
            <c:numRef>
              <c:f>'Bill Projection'!$H$55:$AA$55</c:f>
              <c:numCache>
                <c:formatCode>#,##0_);\(#,##0\)</c:formatCode>
                <c:ptCount val="20"/>
                <c:pt idx="0">
                  <c:v>1540516.3438159479</c:v>
                </c:pt>
                <c:pt idx="1">
                  <c:v>1508828.2108724294</c:v>
                </c:pt>
                <c:pt idx="2">
                  <c:v>1554513.5924875205</c:v>
                </c:pt>
                <c:pt idx="3">
                  <c:v>1655453.5657526799</c:v>
                </c:pt>
                <c:pt idx="4">
                  <c:v>1745425.9271783032</c:v>
                </c:pt>
                <c:pt idx="5">
                  <c:v>1783710.7284754829</c:v>
                </c:pt>
                <c:pt idx="6">
                  <c:v>1861401.8761256626</c:v>
                </c:pt>
                <c:pt idx="7">
                  <c:v>1935399.6610088178</c:v>
                </c:pt>
                <c:pt idx="8">
                  <c:v>1965996.0960194319</c:v>
                </c:pt>
                <c:pt idx="9">
                  <c:v>2018245.6648834667</c:v>
                </c:pt>
                <c:pt idx="10">
                  <c:v>2066283.3872445084</c:v>
                </c:pt>
                <c:pt idx="11">
                  <c:v>2132612.0491940812</c:v>
                </c:pt>
                <c:pt idx="12">
                  <c:v>2162658.1026561963</c:v>
                </c:pt>
                <c:pt idx="13">
                  <c:v>2202097.5123111717</c:v>
                </c:pt>
                <c:pt idx="14">
                  <c:v>2233664.2323005144</c:v>
                </c:pt>
                <c:pt idx="15">
                  <c:v>2268051.8598686624</c:v>
                </c:pt>
                <c:pt idx="16">
                  <c:v>2301560.6825592043</c:v>
                </c:pt>
                <c:pt idx="17">
                  <c:v>2339092.0579756317</c:v>
                </c:pt>
                <c:pt idx="18">
                  <c:v>2374154.190656214</c:v>
                </c:pt>
                <c:pt idx="19">
                  <c:v>2411675.3798640682</c:v>
                </c:pt>
              </c:numCache>
            </c:numRef>
          </c:val>
          <c:smooth val="0"/>
        </c:ser>
        <c:dLbls>
          <c:showLegendKey val="0"/>
          <c:showVal val="0"/>
          <c:showCatName val="0"/>
          <c:showSerName val="0"/>
          <c:showPercent val="0"/>
          <c:showBubbleSize val="0"/>
        </c:dLbls>
        <c:marker val="1"/>
        <c:smooth val="0"/>
        <c:axId val="132308352"/>
        <c:axId val="132314240"/>
      </c:lineChart>
      <c:catAx>
        <c:axId val="132308352"/>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32314240"/>
        <c:crosses val="autoZero"/>
        <c:auto val="1"/>
        <c:lblAlgn val="ctr"/>
        <c:lblOffset val="100"/>
        <c:noMultiLvlLbl val="0"/>
      </c:catAx>
      <c:valAx>
        <c:axId val="132314240"/>
        <c:scaling>
          <c:orientation val="minMax"/>
        </c:scaling>
        <c:delete val="0"/>
        <c:axPos val="l"/>
        <c:majorGridlines>
          <c:spPr>
            <a:ln>
              <a:solidFill>
                <a:schemeClr val="bg1">
                  <a:lumMod val="75000"/>
                </a:schemeClr>
              </a:solidFill>
            </a:ln>
          </c:spPr>
        </c:majorGridlines>
        <c:title>
          <c:tx>
            <c:rich>
              <a:bodyPr rot="-5400000" vert="horz"/>
              <a:lstStyle/>
              <a:p>
                <a:pPr>
                  <a:defRPr/>
                </a:pPr>
                <a:r>
                  <a:rPr lang="en-US"/>
                  <a:t>Average Transmission</a:t>
                </a:r>
                <a:r>
                  <a:rPr lang="en-US" baseline="0"/>
                  <a:t> Bill</a:t>
                </a:r>
                <a:r>
                  <a:rPr lang="en-US"/>
                  <a:t> ($/Month)</a:t>
                </a:r>
              </a:p>
            </c:rich>
          </c:tx>
          <c:overlay val="0"/>
        </c:title>
        <c:numFmt formatCode="&quot;$&quot;#,##0_);\(&quot;$&quot;#,##0\)" sourceLinked="0"/>
        <c:majorTickMark val="out"/>
        <c:minorTickMark val="none"/>
        <c:tickLblPos val="nextTo"/>
        <c:crossAx val="132308352"/>
        <c:crosses val="autoZero"/>
        <c:crossBetween val="between"/>
      </c:valAx>
      <c:spPr>
        <a:ln w="12700">
          <a:solidFill>
            <a:schemeClr val="tx1"/>
          </a:solidFill>
        </a:ln>
      </c:spPr>
    </c:plotArea>
    <c:legend>
      <c:legendPos val="b"/>
      <c:overlay val="0"/>
    </c:legend>
    <c:plotVisOnly val="1"/>
    <c:dispBlanksAs val="gap"/>
    <c:showDLblsOverMax val="0"/>
  </c:chart>
  <c:printSettings>
    <c:headerFooter/>
    <c:pageMargins b="0.75" l="0.5" r="0.5" t="0.75" header="0.5" footer="0.25"/>
    <c:pageSetup paperSize="11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91469</xdr:colOff>
      <xdr:row>6</xdr:row>
      <xdr:rowOff>95250</xdr:rowOff>
    </xdr:from>
    <xdr:to>
      <xdr:col>8</xdr:col>
      <xdr:colOff>91469</xdr:colOff>
      <xdr:row>29</xdr:row>
      <xdr:rowOff>95249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204787</xdr:colOff>
      <xdr:row>6</xdr:row>
      <xdr:rowOff>85725</xdr:rowOff>
    </xdr:from>
    <xdr:to>
      <xdr:col>16</xdr:col>
      <xdr:colOff>259216</xdr:colOff>
      <xdr:row>29</xdr:row>
      <xdr:rowOff>85725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387351</xdr:colOff>
      <xdr:row>6</xdr:row>
      <xdr:rowOff>96838</xdr:rowOff>
    </xdr:from>
    <xdr:to>
      <xdr:col>24</xdr:col>
      <xdr:colOff>457655</xdr:colOff>
      <xdr:row>29</xdr:row>
      <xdr:rowOff>103188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so.ca\dfs\Users\rsharma\My%20Documents\tfo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6">
          <cell r="D6">
            <v>39481967.406316593</v>
          </cell>
          <cell r="H6">
            <v>40.827480809999997</v>
          </cell>
          <cell r="J6">
            <v>163.5846297416665</v>
          </cell>
          <cell r="N6">
            <v>169610.69696</v>
          </cell>
        </row>
        <row r="7">
          <cell r="D7">
            <v>26026985</v>
          </cell>
          <cell r="H7">
            <v>27.133978129999999</v>
          </cell>
          <cell r="J7">
            <v>225.40077288061542</v>
          </cell>
          <cell r="N7">
            <v>294547.41165178583</v>
          </cell>
        </row>
        <row r="8">
          <cell r="D8">
            <v>0</v>
          </cell>
          <cell r="H8">
            <v>0</v>
          </cell>
          <cell r="J8">
            <v>39.946259851699828</v>
          </cell>
          <cell r="N8">
            <v>-0.2192801073663577</v>
          </cell>
        </row>
        <row r="10">
          <cell r="T10">
            <v>-27.783388350151192</v>
          </cell>
        </row>
        <row r="11">
          <cell r="T11">
            <v>-10.469866714911872</v>
          </cell>
        </row>
        <row r="14">
          <cell r="D14">
            <v>1094473276.4200001</v>
          </cell>
          <cell r="H14">
            <v>1042.944987613</v>
          </cell>
          <cell r="J14">
            <v>7590.3509270410723</v>
          </cell>
          <cell r="N14">
            <v>5757171.6013120972</v>
          </cell>
          <cell r="P14">
            <v>5151452.4007875565</v>
          </cell>
        </row>
        <row r="15">
          <cell r="D15">
            <v>-295443462</v>
          </cell>
          <cell r="H15">
            <v>-243.29671709800002</v>
          </cell>
          <cell r="J15">
            <v>-1751.8298120430222</v>
          </cell>
          <cell r="N15">
            <v>-1733041.1893070121</v>
          </cell>
          <cell r="P15">
            <v>-606305.17381312698</v>
          </cell>
        </row>
        <row r="24">
          <cell r="D24">
            <v>614691.68739486998</v>
          </cell>
          <cell r="H24">
            <v>8.6583629212175488</v>
          </cell>
          <cell r="J24">
            <v>54.590823234503432</v>
          </cell>
          <cell r="N24">
            <v>120373.86963144297</v>
          </cell>
        </row>
        <row r="28">
          <cell r="D28">
            <v>-93779022</v>
          </cell>
          <cell r="H28">
            <v>-186.46331484000001</v>
          </cell>
          <cell r="J28">
            <v>-572.44203457002902</v>
          </cell>
          <cell r="N28">
            <v>-480911.832855132</v>
          </cell>
          <cell r="P28">
            <v>-337685.43577808002</v>
          </cell>
        </row>
        <row r="30">
          <cell r="J30">
            <v>-232.43992215498028</v>
          </cell>
          <cell r="N30">
            <v>-376573.10706585215</v>
          </cell>
        </row>
        <row r="34">
          <cell r="T34">
            <v>399.15645496413356</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150" zoomScaleNormal="150" workbookViewId="0">
      <selection activeCell="A5" sqref="A5"/>
    </sheetView>
  </sheetViews>
  <sheetFormatPr defaultRowHeight="12.75" x14ac:dyDescent="0.2"/>
  <sheetData>
    <row r="1" spans="1:11" x14ac:dyDescent="0.2">
      <c r="A1" s="24" t="str">
        <f>Assumptions!A1</f>
        <v>Alberta Electric System Operator</v>
      </c>
    </row>
    <row r="2" spans="1:11" x14ac:dyDescent="0.2">
      <c r="A2" s="24" t="str">
        <f>Assumptions!A2</f>
        <v>Preliminary rates and bill projections</v>
      </c>
    </row>
    <row r="3" spans="1:11" x14ac:dyDescent="0.2">
      <c r="A3" s="24" t="str">
        <f>Assumptions!A3</f>
        <v>For discussion purposes</v>
      </c>
    </row>
    <row r="4" spans="1:11" x14ac:dyDescent="0.2">
      <c r="A4" s="24" t="str">
        <f>Assumptions!A4</f>
        <v>Version 1.0-Conceptual dated March 12, 2020</v>
      </c>
    </row>
    <row r="6" spans="1:11" x14ac:dyDescent="0.2">
      <c r="A6" s="24" t="s">
        <v>353</v>
      </c>
      <c r="B6" s="24" t="s">
        <v>354</v>
      </c>
    </row>
    <row r="7" spans="1:11" x14ac:dyDescent="0.2">
      <c r="A7" s="334">
        <v>1</v>
      </c>
      <c r="B7" s="335" t="s">
        <v>306</v>
      </c>
    </row>
    <row r="8" spans="1:11" x14ac:dyDescent="0.2">
      <c r="A8" s="336">
        <f>A7+1</f>
        <v>2</v>
      </c>
      <c r="B8" s="337" t="s">
        <v>307</v>
      </c>
      <c r="C8" s="311"/>
      <c r="D8" s="311"/>
      <c r="E8" s="311"/>
      <c r="F8" s="311"/>
      <c r="G8" s="311"/>
      <c r="H8" s="338"/>
      <c r="I8" s="338"/>
      <c r="J8" s="338"/>
      <c r="K8" s="338"/>
    </row>
    <row r="9" spans="1:11" x14ac:dyDescent="0.2">
      <c r="A9" s="336">
        <f t="shared" ref="A9:A15" si="0">A8+1</f>
        <v>3</v>
      </c>
      <c r="B9" s="337" t="s">
        <v>308</v>
      </c>
      <c r="C9" s="311"/>
      <c r="D9" s="311"/>
      <c r="E9" s="311"/>
      <c r="F9" s="311"/>
      <c r="G9" s="311"/>
      <c r="H9" s="338"/>
      <c r="I9" s="338"/>
      <c r="J9" s="338"/>
      <c r="K9" s="338"/>
    </row>
    <row r="10" spans="1:11" x14ac:dyDescent="0.2">
      <c r="A10" s="336">
        <f t="shared" si="0"/>
        <v>4</v>
      </c>
      <c r="B10" s="337" t="s">
        <v>309</v>
      </c>
      <c r="C10" s="311"/>
      <c r="D10" s="311"/>
      <c r="E10" s="311"/>
      <c r="F10" s="311"/>
      <c r="G10" s="311"/>
      <c r="H10" s="338"/>
      <c r="I10" s="338"/>
      <c r="J10" s="338"/>
      <c r="K10" s="338"/>
    </row>
    <row r="11" spans="1:11" x14ac:dyDescent="0.2">
      <c r="A11" s="336">
        <f t="shared" si="0"/>
        <v>5</v>
      </c>
      <c r="B11" s="337" t="s">
        <v>310</v>
      </c>
      <c r="C11" s="311"/>
      <c r="D11" s="311"/>
      <c r="E11" s="311"/>
      <c r="F11" s="311"/>
      <c r="G11" s="311"/>
      <c r="H11" s="338"/>
      <c r="I11" s="338"/>
      <c r="J11" s="338"/>
      <c r="K11" s="338"/>
    </row>
    <row r="12" spans="1:11" x14ac:dyDescent="0.2">
      <c r="A12" s="336">
        <f t="shared" si="0"/>
        <v>6</v>
      </c>
      <c r="B12" s="337" t="s">
        <v>311</v>
      </c>
      <c r="C12" s="311"/>
      <c r="D12" s="311"/>
      <c r="E12" s="311"/>
      <c r="F12" s="311"/>
      <c r="G12" s="311"/>
      <c r="H12" s="338"/>
      <c r="I12" s="338"/>
      <c r="J12" s="338"/>
      <c r="K12" s="338"/>
    </row>
    <row r="13" spans="1:11" x14ac:dyDescent="0.2">
      <c r="A13" s="336">
        <f t="shared" si="0"/>
        <v>7</v>
      </c>
      <c r="B13" s="337" t="s">
        <v>312</v>
      </c>
      <c r="C13" s="311"/>
      <c r="D13" s="311"/>
      <c r="E13" s="311"/>
      <c r="F13" s="311"/>
      <c r="G13" s="311"/>
      <c r="H13" s="338"/>
      <c r="I13" s="338"/>
      <c r="J13" s="338"/>
      <c r="K13" s="338"/>
    </row>
    <row r="14" spans="1:11" x14ac:dyDescent="0.2">
      <c r="A14" s="336">
        <f t="shared" si="0"/>
        <v>8</v>
      </c>
      <c r="B14" s="337" t="s">
        <v>313</v>
      </c>
      <c r="C14" s="311"/>
      <c r="D14" s="311"/>
      <c r="E14" s="311"/>
      <c r="F14" s="311"/>
      <c r="G14" s="311"/>
      <c r="H14" s="338"/>
      <c r="I14" s="338"/>
      <c r="J14" s="338"/>
      <c r="K14" s="338"/>
    </row>
    <row r="15" spans="1:11" x14ac:dyDescent="0.2">
      <c r="A15" s="336">
        <f t="shared" si="0"/>
        <v>9</v>
      </c>
      <c r="B15" s="337" t="s">
        <v>314</v>
      </c>
      <c r="C15" s="311"/>
      <c r="D15" s="311"/>
      <c r="E15" s="311"/>
      <c r="F15" s="311"/>
      <c r="G15" s="311"/>
      <c r="H15" s="338"/>
      <c r="I15" s="338"/>
      <c r="J15" s="338"/>
      <c r="K15" s="33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40"/>
  <sheetViews>
    <sheetView showGridLines="0" zoomScaleNormal="100" workbookViewId="0">
      <selection activeCell="A6" sqref="A6"/>
    </sheetView>
  </sheetViews>
  <sheetFormatPr defaultColWidth="10.7109375" defaultRowHeight="12.75" x14ac:dyDescent="0.2"/>
  <cols>
    <col min="1" max="3" width="10.7109375" style="25"/>
    <col min="4" max="4" width="10.7109375" style="25" customWidth="1"/>
    <col min="5" max="16384" width="10.7109375" style="25"/>
  </cols>
  <sheetData>
    <row r="1" spans="1:24" x14ac:dyDescent="0.2">
      <c r="A1" s="24" t="str">
        <f>Assumptions!A1</f>
        <v>Alberta Electric System Operator</v>
      </c>
      <c r="B1" s="24"/>
    </row>
    <row r="2" spans="1:24" x14ac:dyDescent="0.2">
      <c r="A2" s="24" t="str">
        <f>Assumptions!A2</f>
        <v>Preliminary rates and bill projections</v>
      </c>
      <c r="B2" s="24"/>
    </row>
    <row r="3" spans="1:24" x14ac:dyDescent="0.2">
      <c r="A3" s="24" t="str">
        <f>Assumptions!A3</f>
        <v>For discussion purposes</v>
      </c>
      <c r="B3" s="24"/>
    </row>
    <row r="4" spans="1:24" x14ac:dyDescent="0.2">
      <c r="A4" s="24" t="str">
        <f>Assumptions!A4</f>
        <v>Version 1.0-Conceptual dated March 12, 2020</v>
      </c>
      <c r="B4" s="24"/>
    </row>
    <row r="5" spans="1:24" x14ac:dyDescent="0.2">
      <c r="A5" s="24" t="s">
        <v>315</v>
      </c>
      <c r="B5" s="24"/>
    </row>
    <row r="6" spans="1:24" x14ac:dyDescent="0.2">
      <c r="A6" s="24"/>
      <c r="B6" s="24"/>
    </row>
    <row r="7" spans="1:24" x14ac:dyDescent="0.2">
      <c r="A7" s="83" t="s">
        <v>73</v>
      </c>
      <c r="B7" s="83"/>
      <c r="C7" s="83"/>
      <c r="D7" s="83"/>
      <c r="E7" s="83">
        <v>2020</v>
      </c>
      <c r="F7" s="83">
        <f t="shared" ref="F7" si="0">E7+1</f>
        <v>2021</v>
      </c>
      <c r="G7" s="83">
        <f t="shared" ref="G7" si="1">F7+1</f>
        <v>2022</v>
      </c>
      <c r="H7" s="83">
        <f t="shared" ref="H7" si="2">G7+1</f>
        <v>2023</v>
      </c>
      <c r="I7" s="83">
        <f t="shared" ref="I7" si="3">H7+1</f>
        <v>2024</v>
      </c>
      <c r="J7" s="83">
        <f t="shared" ref="J7" si="4">I7+1</f>
        <v>2025</v>
      </c>
      <c r="K7" s="83">
        <f t="shared" ref="K7" si="5">J7+1</f>
        <v>2026</v>
      </c>
      <c r="L7" s="83">
        <f t="shared" ref="L7" si="6">K7+1</f>
        <v>2027</v>
      </c>
      <c r="M7" s="83">
        <f t="shared" ref="M7" si="7">L7+1</f>
        <v>2028</v>
      </c>
      <c r="N7" s="83">
        <f t="shared" ref="N7" si="8">M7+1</f>
        <v>2029</v>
      </c>
      <c r="O7" s="83">
        <f t="shared" ref="O7" si="9">N7+1</f>
        <v>2030</v>
      </c>
      <c r="P7" s="83">
        <f t="shared" ref="P7" si="10">O7+1</f>
        <v>2031</v>
      </c>
      <c r="Q7" s="83">
        <f t="shared" ref="Q7" si="11">P7+1</f>
        <v>2032</v>
      </c>
      <c r="R7" s="83">
        <f t="shared" ref="R7" si="12">Q7+1</f>
        <v>2033</v>
      </c>
      <c r="S7" s="83">
        <f t="shared" ref="S7" si="13">R7+1</f>
        <v>2034</v>
      </c>
      <c r="T7" s="83">
        <f t="shared" ref="T7" si="14">S7+1</f>
        <v>2035</v>
      </c>
      <c r="U7" s="83">
        <f t="shared" ref="U7" si="15">T7+1</f>
        <v>2036</v>
      </c>
      <c r="V7" s="83">
        <f t="shared" ref="V7" si="16">U7+1</f>
        <v>2037</v>
      </c>
      <c r="W7" s="83">
        <f t="shared" ref="W7" si="17">V7+1</f>
        <v>2038</v>
      </c>
      <c r="X7" s="83">
        <f t="shared" ref="X7" si="18">W7+1</f>
        <v>2039</v>
      </c>
    </row>
    <row r="8" spans="1:24" x14ac:dyDescent="0.2">
      <c r="A8" s="33" t="s">
        <v>74</v>
      </c>
      <c r="B8" s="33"/>
      <c r="C8" s="40"/>
      <c r="D8" s="33"/>
      <c r="E8" s="143">
        <f>LTP20Cost!B23</f>
        <v>0</v>
      </c>
      <c r="F8" s="143">
        <f>LTP20Cost!C23</f>
        <v>104.47341213605198</v>
      </c>
      <c r="G8" s="143">
        <f>LTP20Cost!D23</f>
        <v>0</v>
      </c>
      <c r="H8" s="143">
        <f>LTP20Cost!E23</f>
        <v>275.49831032475328</v>
      </c>
      <c r="I8" s="143">
        <f>LTP20Cost!F23</f>
        <v>1527.7182670139152</v>
      </c>
      <c r="J8" s="143">
        <f>LTP20Cost!G23</f>
        <v>87.269177023092681</v>
      </c>
      <c r="K8" s="143">
        <f>LTP20Cost!H23</f>
        <v>89.445814881623832</v>
      </c>
      <c r="L8" s="143">
        <f>LTP20Cost!I23</f>
        <v>91.537464029802663</v>
      </c>
      <c r="M8" s="143">
        <f>LTP20Cost!J23</f>
        <v>93.646002074133861</v>
      </c>
      <c r="N8" s="143">
        <f>LTP20Cost!K23</f>
        <v>95.78844999919481</v>
      </c>
      <c r="O8" s="143">
        <f>LTP20Cost!L23</f>
        <v>14.724591531441606</v>
      </c>
      <c r="P8" s="143">
        <f>LTP20Cost!M23</f>
        <v>15.067726210141894</v>
      </c>
      <c r="Q8" s="143">
        <f>LTP20Cost!N23</f>
        <v>15.422736137450773</v>
      </c>
      <c r="R8" s="143">
        <f>LTP20Cost!O23</f>
        <v>15.785447316933769</v>
      </c>
      <c r="S8" s="143">
        <f>LTP20Cost!P23</f>
        <v>16.156438347550964</v>
      </c>
      <c r="T8" s="143">
        <f>LTP20Cost!Q23</f>
        <v>0</v>
      </c>
      <c r="U8" s="143">
        <f>LTP20Cost!R23</f>
        <v>0</v>
      </c>
      <c r="V8" s="143">
        <f>LTP20Cost!S23</f>
        <v>0</v>
      </c>
      <c r="W8" s="143">
        <f>LTP20Cost!T23</f>
        <v>0</v>
      </c>
      <c r="X8" s="143">
        <f>LTP20Cost!U23</f>
        <v>0</v>
      </c>
    </row>
    <row r="9" spans="1:24" s="24" customFormat="1" x14ac:dyDescent="0.2">
      <c r="A9" s="30"/>
      <c r="B9" s="30"/>
      <c r="C9" s="30"/>
      <c r="D9" s="30"/>
      <c r="E9" s="44"/>
      <c r="F9" s="44"/>
      <c r="G9" s="44"/>
      <c r="H9" s="44"/>
      <c r="I9" s="44"/>
      <c r="J9" s="44"/>
      <c r="K9" s="44"/>
      <c r="L9" s="44"/>
      <c r="M9" s="44"/>
      <c r="N9" s="44"/>
      <c r="O9" s="44"/>
      <c r="P9" s="44"/>
      <c r="Q9" s="44"/>
      <c r="R9" s="44"/>
      <c r="S9" s="44"/>
      <c r="T9" s="44"/>
      <c r="U9" s="44"/>
      <c r="V9" s="44"/>
      <c r="W9" s="44"/>
      <c r="X9" s="44"/>
    </row>
    <row r="10" spans="1:24" s="163" customFormat="1" x14ac:dyDescent="0.2">
      <c r="A10" s="6" t="s">
        <v>201</v>
      </c>
      <c r="B10" s="160"/>
      <c r="C10" s="160"/>
      <c r="D10" s="160"/>
      <c r="E10" s="161"/>
      <c r="F10" s="161"/>
      <c r="G10" s="161"/>
      <c r="H10" s="161"/>
      <c r="I10" s="161"/>
      <c r="J10" s="161"/>
      <c r="K10" s="161"/>
      <c r="L10" s="161"/>
      <c r="M10" s="161"/>
      <c r="N10" s="161"/>
      <c r="O10" s="161"/>
      <c r="P10" s="161"/>
      <c r="Q10" s="161"/>
      <c r="R10" s="161"/>
      <c r="S10" s="161"/>
      <c r="T10" s="161"/>
      <c r="U10" s="161"/>
      <c r="V10" s="161"/>
      <c r="W10" s="161"/>
      <c r="X10" s="161"/>
    </row>
    <row r="11" spans="1:24" x14ac:dyDescent="0.2">
      <c r="A11" s="31"/>
      <c r="B11" s="31"/>
      <c r="C11" s="31"/>
      <c r="D11" s="31"/>
      <c r="E11" s="38"/>
      <c r="F11" s="38"/>
      <c r="G11" s="38"/>
      <c r="H11" s="38"/>
      <c r="I11" s="38"/>
      <c r="J11" s="38"/>
      <c r="K11" s="38"/>
      <c r="L11" s="38"/>
      <c r="M11" s="38"/>
      <c r="N11" s="38"/>
      <c r="O11" s="38"/>
      <c r="P11" s="38"/>
      <c r="Q11" s="38"/>
      <c r="R11" s="38"/>
      <c r="S11" s="38"/>
      <c r="T11" s="38"/>
      <c r="U11" s="38"/>
      <c r="V11" s="38"/>
      <c r="W11" s="38"/>
      <c r="X11" s="38"/>
    </row>
    <row r="12" spans="1:24" x14ac:dyDescent="0.2">
      <c r="A12" s="83" t="s">
        <v>41</v>
      </c>
      <c r="B12" s="83"/>
      <c r="C12" s="83"/>
      <c r="D12" s="83"/>
      <c r="E12" s="83">
        <f t="shared" ref="E12:V12" si="19">E7</f>
        <v>2020</v>
      </c>
      <c r="F12" s="83">
        <f t="shared" si="19"/>
        <v>2021</v>
      </c>
      <c r="G12" s="83">
        <f t="shared" si="19"/>
        <v>2022</v>
      </c>
      <c r="H12" s="83">
        <f t="shared" si="19"/>
        <v>2023</v>
      </c>
      <c r="I12" s="83">
        <f t="shared" si="19"/>
        <v>2024</v>
      </c>
      <c r="J12" s="83">
        <f t="shared" si="19"/>
        <v>2025</v>
      </c>
      <c r="K12" s="83">
        <f t="shared" si="19"/>
        <v>2026</v>
      </c>
      <c r="L12" s="83">
        <f t="shared" si="19"/>
        <v>2027</v>
      </c>
      <c r="M12" s="83">
        <f t="shared" si="19"/>
        <v>2028</v>
      </c>
      <c r="N12" s="83">
        <f t="shared" si="19"/>
        <v>2029</v>
      </c>
      <c r="O12" s="83">
        <f t="shared" si="19"/>
        <v>2030</v>
      </c>
      <c r="P12" s="83">
        <f t="shared" si="19"/>
        <v>2031</v>
      </c>
      <c r="Q12" s="83">
        <f t="shared" si="19"/>
        <v>2032</v>
      </c>
      <c r="R12" s="83">
        <f t="shared" si="19"/>
        <v>2033</v>
      </c>
      <c r="S12" s="83">
        <f t="shared" si="19"/>
        <v>2034</v>
      </c>
      <c r="T12" s="83">
        <f t="shared" si="19"/>
        <v>2035</v>
      </c>
      <c r="U12" s="83">
        <f t="shared" si="19"/>
        <v>2036</v>
      </c>
      <c r="V12" s="83">
        <f t="shared" si="19"/>
        <v>2037</v>
      </c>
      <c r="W12" s="83">
        <f t="shared" ref="W12:X12" si="20">W7</f>
        <v>2038</v>
      </c>
      <c r="X12" s="83">
        <f t="shared" si="20"/>
        <v>2039</v>
      </c>
    </row>
    <row r="13" spans="1:24" x14ac:dyDescent="0.2">
      <c r="A13" s="41" t="s">
        <v>36</v>
      </c>
      <c r="B13" s="41"/>
      <c r="C13" s="41"/>
      <c r="D13" s="41"/>
      <c r="E13" s="144">
        <f>Assumptions!E20*E23</f>
        <v>0</v>
      </c>
      <c r="F13" s="144">
        <f>Assumptions!F20*F23</f>
        <v>1.0865234862149404</v>
      </c>
      <c r="G13" s="144">
        <f>Assumptions!G20*G23</f>
        <v>1.0865234862149404</v>
      </c>
      <c r="H13" s="144">
        <f>Assumptions!H20*H23</f>
        <v>3.9517059135923747</v>
      </c>
      <c r="I13" s="144">
        <f>Assumptions!I20*I23</f>
        <v>19.839975890537094</v>
      </c>
      <c r="J13" s="144">
        <f>Assumptions!J20*J23</f>
        <v>20.747575331577256</v>
      </c>
      <c r="K13" s="144">
        <f>Assumptions!K20*K23</f>
        <v>21.677811806346142</v>
      </c>
      <c r="L13" s="144">
        <f>Assumptions!L20*L23</f>
        <v>22.629801432256091</v>
      </c>
      <c r="M13" s="144">
        <f>Assumptions!M20*M23</f>
        <v>23.60371985382708</v>
      </c>
      <c r="N13" s="144">
        <f>Assumptions!N20*N23</f>
        <v>24.599919733818705</v>
      </c>
      <c r="O13" s="144">
        <f>Assumptions!O20*O23</f>
        <v>24.753055485745698</v>
      </c>
      <c r="P13" s="144">
        <f>Assumptions!P20*P23</f>
        <v>24.909759838331173</v>
      </c>
      <c r="Q13" s="144">
        <f>Assumptions!Q20*Q23</f>
        <v>25.070156294160657</v>
      </c>
      <c r="R13" s="144">
        <f>Assumptions!R20*R23</f>
        <v>25.234324946256766</v>
      </c>
      <c r="S13" s="144">
        <f>Assumptions!S20*S23</f>
        <v>25.402351905071299</v>
      </c>
      <c r="T13" s="144">
        <f>Assumptions!T20*T23</f>
        <v>25.402351905071299</v>
      </c>
      <c r="U13" s="144">
        <f>Assumptions!U20*U23</f>
        <v>25.402351905071299</v>
      </c>
      <c r="V13" s="144">
        <f>Assumptions!V20*V23</f>
        <v>25.402351905071299</v>
      </c>
      <c r="W13" s="144">
        <f>Assumptions!W20*W23</f>
        <v>25.402351905071299</v>
      </c>
      <c r="X13" s="144">
        <f>Assumptions!X20*X23</f>
        <v>25.402351905071299</v>
      </c>
    </row>
    <row r="14" spans="1:24" x14ac:dyDescent="0.2">
      <c r="A14" s="41" t="s">
        <v>87</v>
      </c>
      <c r="B14" s="41"/>
      <c r="C14" s="41"/>
      <c r="D14" s="41"/>
      <c r="E14" s="143">
        <f t="shared" ref="E14" si="21">E28</f>
        <v>0</v>
      </c>
      <c r="F14" s="143">
        <f t="shared" ref="F14" si="22">F28</f>
        <v>1.59302924072878</v>
      </c>
      <c r="G14" s="143">
        <f t="shared" ref="G14:X14" si="23">G28</f>
        <v>3.1860584814575601</v>
      </c>
      <c r="H14" s="143">
        <f t="shared" si="23"/>
        <v>7.3869059042178122</v>
      </c>
      <c r="I14" s="143">
        <f t="shared" si="23"/>
        <v>34.882674218231671</v>
      </c>
      <c r="J14" s="143">
        <f t="shared" si="23"/>
        <v>59.50829110160123</v>
      </c>
      <c r="K14" s="143">
        <f t="shared" si="23"/>
        <v>62.202872848512676</v>
      </c>
      <c r="L14" s="143">
        <f t="shared" si="23"/>
        <v>64.962538197754043</v>
      </c>
      <c r="M14" s="143">
        <f t="shared" si="23"/>
        <v>67.786248751199992</v>
      </c>
      <c r="N14" s="143">
        <f t="shared" si="23"/>
        <v>70.674779097669941</v>
      </c>
      <c r="O14" s="143">
        <f t="shared" si="23"/>
        <v>72.359901685710923</v>
      </c>
      <c r="P14" s="143">
        <f t="shared" si="23"/>
        <v>72.814180265696606</v>
      </c>
      <c r="Q14" s="143">
        <f t="shared" si="23"/>
        <v>73.279104279280091</v>
      </c>
      <c r="R14" s="143">
        <f t="shared" si="23"/>
        <v>73.754972232440451</v>
      </c>
      <c r="S14" s="143">
        <f t="shared" si="23"/>
        <v>74.242027807894175</v>
      </c>
      <c r="T14" s="143">
        <f t="shared" si="23"/>
        <v>74.488384064356481</v>
      </c>
      <c r="U14" s="143">
        <f t="shared" si="23"/>
        <v>74.488384064356481</v>
      </c>
      <c r="V14" s="143">
        <f t="shared" si="23"/>
        <v>74.488384064356481</v>
      </c>
      <c r="W14" s="143">
        <f t="shared" si="23"/>
        <v>74.488384064356481</v>
      </c>
      <c r="X14" s="143">
        <f t="shared" si="23"/>
        <v>74.488384064356481</v>
      </c>
    </row>
    <row r="15" spans="1:24" x14ac:dyDescent="0.2">
      <c r="A15" s="41" t="s">
        <v>0</v>
      </c>
      <c r="B15" s="41"/>
      <c r="C15" s="41"/>
      <c r="D15" s="41"/>
      <c r="E15" s="143">
        <f t="shared" ref="E15" si="24">E40</f>
        <v>0</v>
      </c>
      <c r="F15" s="143">
        <f t="shared" ref="F15" si="25">F40</f>
        <v>0.59836217216139531</v>
      </c>
      <c r="G15" s="143">
        <f t="shared" ref="G15:X15" si="26">G40</f>
        <v>1.178193922682176</v>
      </c>
      <c r="H15" s="143">
        <f t="shared" si="26"/>
        <v>2.7190251384641493</v>
      </c>
      <c r="I15" s="143">
        <f t="shared" si="26"/>
        <v>12.960861732204924</v>
      </c>
      <c r="J15" s="143">
        <f t="shared" si="26"/>
        <v>21.804796663045256</v>
      </c>
      <c r="K15" s="143">
        <f t="shared" si="26"/>
        <v>22.124704200768893</v>
      </c>
      <c r="L15" s="143">
        <f t="shared" si="26"/>
        <v>22.437714080890128</v>
      </c>
      <c r="M15" s="143">
        <f t="shared" si="26"/>
        <v>22.742679202838442</v>
      </c>
      <c r="N15" s="143">
        <f t="shared" si="26"/>
        <v>23.039145525990488</v>
      </c>
      <c r="O15" s="143">
        <f t="shared" si="26"/>
        <v>22.849996553583171</v>
      </c>
      <c r="P15" s="143">
        <f t="shared" si="26"/>
        <v>22.178925148934045</v>
      </c>
      <c r="Q15" s="143">
        <f t="shared" si="26"/>
        <v>21.506568049831934</v>
      </c>
      <c r="R15" s="143">
        <f t="shared" si="26"/>
        <v>20.832913549217977</v>
      </c>
      <c r="S15" s="143">
        <f t="shared" si="26"/>
        <v>20.157925875435421</v>
      </c>
      <c r="T15" s="143">
        <f t="shared" si="26"/>
        <v>19.38686293284297</v>
      </c>
      <c r="U15" s="143">
        <f t="shared" si="26"/>
        <v>18.52039976396285</v>
      </c>
      <c r="V15" s="143">
        <f t="shared" si="26"/>
        <v>17.653936595082737</v>
      </c>
      <c r="W15" s="143">
        <f t="shared" si="26"/>
        <v>16.787473426202624</v>
      </c>
      <c r="X15" s="143">
        <f t="shared" si="26"/>
        <v>15.921010257322509</v>
      </c>
    </row>
    <row r="16" spans="1:24" x14ac:dyDescent="0.2">
      <c r="A16" s="42" t="s">
        <v>76</v>
      </c>
      <c r="B16" s="42"/>
      <c r="C16" s="42"/>
      <c r="D16" s="42"/>
      <c r="E16" s="145">
        <f>E35*(1-Assumptions!E12)*Assumptions!E13</f>
        <v>0</v>
      </c>
      <c r="F16" s="145">
        <f>F35*(1-Assumptions!F12)*Assumptions!F13</f>
        <v>1.4252405746344066</v>
      </c>
      <c r="G16" s="145">
        <f>G35*(1-Assumptions!G12)*Assumptions!G13</f>
        <v>2.8063434847973303</v>
      </c>
      <c r="H16" s="145">
        <f>H35*(1-Assumptions!H12)*Assumptions!H13</f>
        <v>6.4764537784731022</v>
      </c>
      <c r="I16" s="145">
        <f>I35*(1-Assumptions!I12)*Assumptions!I13</f>
        <v>30.871513745996488</v>
      </c>
      <c r="J16" s="145">
        <f>J35*(1-Assumptions!J12)*Assumptions!J13</f>
        <v>51.936907731932358</v>
      </c>
      <c r="K16" s="145">
        <f>K35*(1-Assumptions!K12)*Assumptions!K13</f>
        <v>52.698896413884214</v>
      </c>
      <c r="L16" s="145">
        <f>L35*(1-Assumptions!L12)*Assumptions!L13</f>
        <v>53.444455545402825</v>
      </c>
      <c r="M16" s="145">
        <f>M35*(1-Assumptions!M12)*Assumptions!M13</f>
        <v>54.170852844348104</v>
      </c>
      <c r="N16" s="145">
        <f>N35*(1-Assumptions!N12)*Assumptions!N13</f>
        <v>54.877006830056615</v>
      </c>
      <c r="O16" s="145">
        <f>O35*(1-Assumptions!O12)*Assumptions!O13</f>
        <v>54.426472349991592</v>
      </c>
      <c r="P16" s="145">
        <f>P35*(1-Assumptions!P12)*Assumptions!P13</f>
        <v>52.828045445884321</v>
      </c>
      <c r="Q16" s="145">
        <f>Q35*(1-Assumptions!Q12)*Assumptions!Q13</f>
        <v>51.226556142470692</v>
      </c>
      <c r="R16" s="145">
        <f>R35*(1-Assumptions!R12)*Assumptions!R13</f>
        <v>49.62197655467363</v>
      </c>
      <c r="S16" s="145">
        <f>S35*(1-Assumptions!S12)*Assumptions!S13</f>
        <v>48.014221477881264</v>
      </c>
      <c r="T16" s="145">
        <f>T35*(1-Assumptions!T12)*Assumptions!T13</f>
        <v>46.177624442660679</v>
      </c>
      <c r="U16" s="145">
        <f>U35*(1-Assumptions!U12)*Assumptions!U13</f>
        <v>44.113793334732371</v>
      </c>
      <c r="V16" s="145">
        <f>V35*(1-Assumptions!V12)*Assumptions!V13</f>
        <v>42.049962226804055</v>
      </c>
      <c r="W16" s="145">
        <f>W35*(1-Assumptions!W12)*Assumptions!W13</f>
        <v>39.986131118875754</v>
      </c>
      <c r="X16" s="145">
        <f>X35*(1-Assumptions!X12)*Assumptions!X13</f>
        <v>37.922300010947438</v>
      </c>
    </row>
    <row r="17" spans="1:24" x14ac:dyDescent="0.2">
      <c r="A17" s="43" t="s">
        <v>2</v>
      </c>
      <c r="B17" s="33"/>
      <c r="C17" s="33"/>
      <c r="D17" s="33"/>
      <c r="E17" s="143">
        <f>E35*Assumptions!E12*Assumptions!E11</f>
        <v>0</v>
      </c>
      <c r="F17" s="143">
        <f>F35*Assumptions!F12*Assumptions!F11</f>
        <v>1.6177940210289574</v>
      </c>
      <c r="G17" s="143">
        <f>G35*Assumptions!G12*Assumptions!G11</f>
        <v>3.1854872724369945</v>
      </c>
      <c r="H17" s="143">
        <f>H35*Assumptions!H12*Assumptions!H11</f>
        <v>7.3514383373289958</v>
      </c>
      <c r="I17" s="143">
        <f>I35*Assumptions!I12*Assumptions!I11</f>
        <v>35.042329868554049</v>
      </c>
      <c r="J17" s="143">
        <f>J35*Assumptions!J12*Assumptions!J11</f>
        <v>58.95370949638162</v>
      </c>
      <c r="K17" s="143">
        <f>K35*Assumptions!K12*Assumptions!K11</f>
        <v>59.818644690967737</v>
      </c>
      <c r="L17" s="143">
        <f>L35*Assumptions!L12*Assumptions!L11</f>
        <v>60.664930663147373</v>
      </c>
      <c r="M17" s="143">
        <f>M35*Assumptions!M12*Assumptions!M11</f>
        <v>61.489465992859486</v>
      </c>
      <c r="N17" s="143">
        <f>N35*Assumptions!N12*Assumptions!N11</f>
        <v>62.291023088789096</v>
      </c>
      <c r="O17" s="143">
        <f>O35*Assumptions!O12*Assumptions!O11</f>
        <v>61.779620311539688</v>
      </c>
      <c r="P17" s="143">
        <f>P35*Assumptions!P12*Assumptions!P11</f>
        <v>59.965242069340192</v>
      </c>
      <c r="Q17" s="143">
        <f>Q35*Assumptions!Q12*Assumptions!Q11</f>
        <v>58.14738769028633</v>
      </c>
      <c r="R17" s="143">
        <f>R35*Assumptions!R12*Assumptions!R11</f>
        <v>56.326025521959707</v>
      </c>
      <c r="S17" s="143">
        <f>S35*Assumptions!S12*Assumptions!S11</f>
        <v>54.501058848399467</v>
      </c>
      <c r="T17" s="143">
        <f>T35*Assumptions!T12*Assumptions!T11</f>
        <v>52.416333114723571</v>
      </c>
      <c r="U17" s="143">
        <f>U35*Assumptions!U12*Assumptions!U11</f>
        <v>50.073673435899558</v>
      </c>
      <c r="V17" s="143">
        <f>V35*Assumptions!V12*Assumptions!V11</f>
        <v>47.731013757075551</v>
      </c>
      <c r="W17" s="143">
        <f>W35*Assumptions!W12*Assumptions!W11</f>
        <v>45.388354078251531</v>
      </c>
      <c r="X17" s="143">
        <f>X35*Assumptions!X12*Assumptions!X11</f>
        <v>43.045694399427525</v>
      </c>
    </row>
    <row r="18" spans="1:24" x14ac:dyDescent="0.2">
      <c r="A18" s="114" t="s">
        <v>77</v>
      </c>
      <c r="B18" s="114"/>
      <c r="C18" s="114"/>
      <c r="D18" s="114"/>
      <c r="E18" s="146">
        <f t="shared" ref="E18:F18" si="27">SUM(E13:E17)</f>
        <v>0</v>
      </c>
      <c r="F18" s="146">
        <f t="shared" si="27"/>
        <v>6.3209494947684792</v>
      </c>
      <c r="G18" s="146">
        <f t="shared" ref="G18:X18" si="28">SUM(G13:G17)</f>
        <v>11.442606647589002</v>
      </c>
      <c r="H18" s="146">
        <f t="shared" si="28"/>
        <v>27.885529072076434</v>
      </c>
      <c r="I18" s="146">
        <f t="shared" si="28"/>
        <v>133.59735545552422</v>
      </c>
      <c r="J18" s="146">
        <f t="shared" si="28"/>
        <v>212.95128032453772</v>
      </c>
      <c r="K18" s="146">
        <f t="shared" si="28"/>
        <v>218.52292996047964</v>
      </c>
      <c r="L18" s="146">
        <f t="shared" si="28"/>
        <v>224.13943991945047</v>
      </c>
      <c r="M18" s="146">
        <f t="shared" si="28"/>
        <v>229.79296664507311</v>
      </c>
      <c r="N18" s="146">
        <f t="shared" si="28"/>
        <v>235.48187427632487</v>
      </c>
      <c r="O18" s="146">
        <f t="shared" si="28"/>
        <v>236.1690463865711</v>
      </c>
      <c r="P18" s="146">
        <f t="shared" si="28"/>
        <v>232.69615276818632</v>
      </c>
      <c r="Q18" s="146">
        <f t="shared" si="28"/>
        <v>229.22977245602971</v>
      </c>
      <c r="R18" s="146">
        <f t="shared" si="28"/>
        <v>225.77021280454852</v>
      </c>
      <c r="S18" s="146">
        <f t="shared" si="28"/>
        <v>222.31758591468162</v>
      </c>
      <c r="T18" s="146">
        <f t="shared" si="28"/>
        <v>217.87155645965498</v>
      </c>
      <c r="U18" s="146">
        <f t="shared" si="28"/>
        <v>212.59860250402258</v>
      </c>
      <c r="V18" s="146">
        <f t="shared" si="28"/>
        <v>207.32564854839012</v>
      </c>
      <c r="W18" s="146">
        <f t="shared" si="28"/>
        <v>202.05269459275769</v>
      </c>
      <c r="X18" s="146">
        <f t="shared" si="28"/>
        <v>196.77974063712526</v>
      </c>
    </row>
    <row r="19" spans="1:24" x14ac:dyDescent="0.2">
      <c r="E19" s="38"/>
      <c r="F19" s="38"/>
      <c r="G19" s="38"/>
      <c r="H19" s="38"/>
      <c r="I19" s="38"/>
      <c r="J19" s="38"/>
      <c r="K19" s="38"/>
      <c r="L19" s="38"/>
      <c r="M19" s="38"/>
      <c r="N19" s="38"/>
      <c r="O19" s="38"/>
      <c r="P19" s="38"/>
      <c r="Q19" s="38"/>
      <c r="R19" s="38"/>
      <c r="S19" s="38"/>
      <c r="T19" s="38"/>
      <c r="U19" s="38"/>
      <c r="V19" s="38"/>
      <c r="W19" s="38"/>
      <c r="X19" s="38"/>
    </row>
    <row r="20" spans="1:24" x14ac:dyDescent="0.2">
      <c r="A20" s="83" t="s">
        <v>78</v>
      </c>
      <c r="B20" s="83"/>
      <c r="C20" s="83"/>
      <c r="D20" s="83"/>
      <c r="E20" s="83">
        <f t="shared" ref="E20:F20" si="29">E7</f>
        <v>2020</v>
      </c>
      <c r="F20" s="83">
        <f t="shared" si="29"/>
        <v>2021</v>
      </c>
      <c r="G20" s="83">
        <f t="shared" ref="G20:X20" si="30">G7</f>
        <v>2022</v>
      </c>
      <c r="H20" s="83">
        <f t="shared" si="30"/>
        <v>2023</v>
      </c>
      <c r="I20" s="83">
        <f t="shared" si="30"/>
        <v>2024</v>
      </c>
      <c r="J20" s="83">
        <f t="shared" si="30"/>
        <v>2025</v>
      </c>
      <c r="K20" s="83">
        <f t="shared" si="30"/>
        <v>2026</v>
      </c>
      <c r="L20" s="83">
        <f t="shared" si="30"/>
        <v>2027</v>
      </c>
      <c r="M20" s="83">
        <f t="shared" si="30"/>
        <v>2028</v>
      </c>
      <c r="N20" s="83">
        <f t="shared" si="30"/>
        <v>2029</v>
      </c>
      <c r="O20" s="83">
        <f t="shared" si="30"/>
        <v>2030</v>
      </c>
      <c r="P20" s="83">
        <f t="shared" si="30"/>
        <v>2031</v>
      </c>
      <c r="Q20" s="83">
        <f t="shared" si="30"/>
        <v>2032</v>
      </c>
      <c r="R20" s="83">
        <f t="shared" si="30"/>
        <v>2033</v>
      </c>
      <c r="S20" s="83">
        <f t="shared" si="30"/>
        <v>2034</v>
      </c>
      <c r="T20" s="83">
        <f t="shared" si="30"/>
        <v>2035</v>
      </c>
      <c r="U20" s="83">
        <f t="shared" si="30"/>
        <v>2036</v>
      </c>
      <c r="V20" s="83">
        <f t="shared" si="30"/>
        <v>2037</v>
      </c>
      <c r="W20" s="83">
        <f t="shared" si="30"/>
        <v>2038</v>
      </c>
      <c r="X20" s="83">
        <f t="shared" si="30"/>
        <v>2039</v>
      </c>
    </row>
    <row r="21" spans="1:24" x14ac:dyDescent="0.2">
      <c r="A21" s="41" t="s">
        <v>79</v>
      </c>
      <c r="B21" s="41"/>
      <c r="C21" s="41"/>
      <c r="D21" s="41"/>
      <c r="E21" s="147">
        <v>0</v>
      </c>
      <c r="F21" s="147">
        <f t="shared" ref="F21" si="31">E23</f>
        <v>0</v>
      </c>
      <c r="G21" s="147">
        <f t="shared" ref="G21" si="32">F23</f>
        <v>104.47341213605198</v>
      </c>
      <c r="H21" s="147">
        <f t="shared" ref="H21" si="33">G23</f>
        <v>104.47341213605198</v>
      </c>
      <c r="I21" s="147">
        <f t="shared" ref="I21" si="34">H23</f>
        <v>379.97172246080527</v>
      </c>
      <c r="J21" s="147">
        <f t="shared" ref="J21" si="35">I23</f>
        <v>1907.6899894747205</v>
      </c>
      <c r="K21" s="147">
        <f t="shared" ref="K21" si="36">J23</f>
        <v>1994.9591664978132</v>
      </c>
      <c r="L21" s="147">
        <f t="shared" ref="L21" si="37">K23</f>
        <v>2084.4049813794368</v>
      </c>
      <c r="M21" s="147">
        <f t="shared" ref="M21" si="38">L23</f>
        <v>2175.9424454092396</v>
      </c>
      <c r="N21" s="147">
        <f t="shared" ref="N21" si="39">M23</f>
        <v>2269.5884474833733</v>
      </c>
      <c r="O21" s="147">
        <f t="shared" ref="O21" si="40">N23</f>
        <v>2365.376897482568</v>
      </c>
      <c r="P21" s="147">
        <f t="shared" ref="P21" si="41">O23</f>
        <v>2380.1014890140095</v>
      </c>
      <c r="Q21" s="147">
        <f t="shared" ref="Q21" si="42">P23</f>
        <v>2395.1692152241512</v>
      </c>
      <c r="R21" s="147">
        <f t="shared" ref="R21" si="43">Q23</f>
        <v>2410.5919513616018</v>
      </c>
      <c r="S21" s="147">
        <f t="shared" ref="S21" si="44">R23</f>
        <v>2426.3773986785354</v>
      </c>
      <c r="T21" s="147">
        <f t="shared" ref="T21" si="45">S23</f>
        <v>2442.5338370260865</v>
      </c>
      <c r="U21" s="147">
        <f t="shared" ref="U21" si="46">T23</f>
        <v>2442.5338370260865</v>
      </c>
      <c r="V21" s="147">
        <f t="shared" ref="V21" si="47">U23</f>
        <v>2442.5338370260865</v>
      </c>
      <c r="W21" s="147">
        <f t="shared" ref="W21" si="48">V23</f>
        <v>2442.5338370260865</v>
      </c>
      <c r="X21" s="147">
        <f t="shared" ref="X21" si="49">W23</f>
        <v>2442.5338370260865</v>
      </c>
    </row>
    <row r="22" spans="1:24" x14ac:dyDescent="0.2">
      <c r="A22" s="150" t="s">
        <v>75</v>
      </c>
      <c r="B22" s="150"/>
      <c r="C22" s="150"/>
      <c r="D22" s="150"/>
      <c r="E22" s="148">
        <f t="shared" ref="E22:F22" si="50">E8</f>
        <v>0</v>
      </c>
      <c r="F22" s="148">
        <f t="shared" si="50"/>
        <v>104.47341213605198</v>
      </c>
      <c r="G22" s="148">
        <f t="shared" ref="G22:X22" si="51">G8</f>
        <v>0</v>
      </c>
      <c r="H22" s="148">
        <f t="shared" si="51"/>
        <v>275.49831032475328</v>
      </c>
      <c r="I22" s="148">
        <f t="shared" si="51"/>
        <v>1527.7182670139152</v>
      </c>
      <c r="J22" s="148">
        <f t="shared" si="51"/>
        <v>87.269177023092681</v>
      </c>
      <c r="K22" s="148">
        <f t="shared" si="51"/>
        <v>89.445814881623832</v>
      </c>
      <c r="L22" s="148">
        <f t="shared" si="51"/>
        <v>91.537464029802663</v>
      </c>
      <c r="M22" s="148">
        <f t="shared" si="51"/>
        <v>93.646002074133861</v>
      </c>
      <c r="N22" s="148">
        <f t="shared" si="51"/>
        <v>95.78844999919481</v>
      </c>
      <c r="O22" s="148">
        <f t="shared" si="51"/>
        <v>14.724591531441606</v>
      </c>
      <c r="P22" s="148">
        <f t="shared" si="51"/>
        <v>15.067726210141894</v>
      </c>
      <c r="Q22" s="148">
        <f t="shared" si="51"/>
        <v>15.422736137450773</v>
      </c>
      <c r="R22" s="148">
        <f t="shared" si="51"/>
        <v>15.785447316933769</v>
      </c>
      <c r="S22" s="148">
        <f t="shared" si="51"/>
        <v>16.156438347550964</v>
      </c>
      <c r="T22" s="148">
        <f t="shared" si="51"/>
        <v>0</v>
      </c>
      <c r="U22" s="148">
        <f t="shared" si="51"/>
        <v>0</v>
      </c>
      <c r="V22" s="148">
        <f t="shared" si="51"/>
        <v>0</v>
      </c>
      <c r="W22" s="148">
        <f t="shared" si="51"/>
        <v>0</v>
      </c>
      <c r="X22" s="148">
        <f t="shared" si="51"/>
        <v>0</v>
      </c>
    </row>
    <row r="23" spans="1:24" x14ac:dyDescent="0.2">
      <c r="A23" s="151" t="s">
        <v>10</v>
      </c>
      <c r="B23" s="151"/>
      <c r="C23" s="151"/>
      <c r="D23" s="151"/>
      <c r="E23" s="149">
        <f t="shared" ref="E23:F23" si="52">E21+E22</f>
        <v>0</v>
      </c>
      <c r="F23" s="149">
        <f t="shared" si="52"/>
        <v>104.47341213605198</v>
      </c>
      <c r="G23" s="149">
        <f t="shared" ref="G23:X23" si="53">G21+G22</f>
        <v>104.47341213605198</v>
      </c>
      <c r="H23" s="149">
        <f t="shared" si="53"/>
        <v>379.97172246080527</v>
      </c>
      <c r="I23" s="149">
        <f t="shared" si="53"/>
        <v>1907.6899894747205</v>
      </c>
      <c r="J23" s="149">
        <f t="shared" si="53"/>
        <v>1994.9591664978132</v>
      </c>
      <c r="K23" s="149">
        <f t="shared" si="53"/>
        <v>2084.4049813794368</v>
      </c>
      <c r="L23" s="149">
        <f t="shared" si="53"/>
        <v>2175.9424454092396</v>
      </c>
      <c r="M23" s="149">
        <f t="shared" si="53"/>
        <v>2269.5884474833733</v>
      </c>
      <c r="N23" s="149">
        <f t="shared" si="53"/>
        <v>2365.376897482568</v>
      </c>
      <c r="O23" s="149">
        <f t="shared" si="53"/>
        <v>2380.1014890140095</v>
      </c>
      <c r="P23" s="149">
        <f t="shared" si="53"/>
        <v>2395.1692152241512</v>
      </c>
      <c r="Q23" s="149">
        <f t="shared" si="53"/>
        <v>2410.5919513616018</v>
      </c>
      <c r="R23" s="149">
        <f t="shared" si="53"/>
        <v>2426.3773986785354</v>
      </c>
      <c r="S23" s="149">
        <f t="shared" si="53"/>
        <v>2442.5338370260865</v>
      </c>
      <c r="T23" s="149">
        <f t="shared" si="53"/>
        <v>2442.5338370260865</v>
      </c>
      <c r="U23" s="149">
        <f t="shared" si="53"/>
        <v>2442.5338370260865</v>
      </c>
      <c r="V23" s="149">
        <f t="shared" si="53"/>
        <v>2442.5338370260865</v>
      </c>
      <c r="W23" s="149">
        <f t="shared" si="53"/>
        <v>2442.5338370260865</v>
      </c>
      <c r="X23" s="149">
        <f t="shared" si="53"/>
        <v>2442.5338370260865</v>
      </c>
    </row>
    <row r="24" spans="1:24" x14ac:dyDescent="0.2">
      <c r="A24" s="45" t="s">
        <v>80</v>
      </c>
      <c r="B24" s="41"/>
      <c r="C24" s="41"/>
      <c r="D24" s="41"/>
      <c r="E24" s="147">
        <f t="shared" ref="E24:F24" si="54">(E21+E23)/2</f>
        <v>0</v>
      </c>
      <c r="F24" s="147">
        <f t="shared" si="54"/>
        <v>52.236706068025988</v>
      </c>
      <c r="G24" s="147">
        <f t="shared" ref="G24:X24" si="55">(G21+G23)/2</f>
        <v>104.47341213605198</v>
      </c>
      <c r="H24" s="147">
        <f t="shared" si="55"/>
        <v>242.22256729842863</v>
      </c>
      <c r="I24" s="147">
        <f t="shared" si="55"/>
        <v>1143.830855967763</v>
      </c>
      <c r="J24" s="147">
        <f t="shared" si="55"/>
        <v>1951.3245779862668</v>
      </c>
      <c r="K24" s="147">
        <f t="shared" si="55"/>
        <v>2039.6820739386249</v>
      </c>
      <c r="L24" s="147">
        <f t="shared" si="55"/>
        <v>2130.1737133943379</v>
      </c>
      <c r="M24" s="147">
        <f t="shared" si="55"/>
        <v>2222.7654464463067</v>
      </c>
      <c r="N24" s="147">
        <f t="shared" si="55"/>
        <v>2317.4826724829709</v>
      </c>
      <c r="O24" s="147">
        <f t="shared" si="55"/>
        <v>2372.7391932482888</v>
      </c>
      <c r="P24" s="147">
        <f t="shared" si="55"/>
        <v>2387.6353521190804</v>
      </c>
      <c r="Q24" s="147">
        <f t="shared" si="55"/>
        <v>2402.8805832928765</v>
      </c>
      <c r="R24" s="147">
        <f t="shared" si="55"/>
        <v>2418.4846750200686</v>
      </c>
      <c r="S24" s="147">
        <f t="shared" si="55"/>
        <v>2434.4556178523108</v>
      </c>
      <c r="T24" s="147">
        <f t="shared" si="55"/>
        <v>2442.5338370260865</v>
      </c>
      <c r="U24" s="147">
        <f t="shared" si="55"/>
        <v>2442.5338370260865</v>
      </c>
      <c r="V24" s="147">
        <f t="shared" si="55"/>
        <v>2442.5338370260865</v>
      </c>
      <c r="W24" s="147">
        <f t="shared" si="55"/>
        <v>2442.5338370260865</v>
      </c>
      <c r="X24" s="147">
        <f t="shared" si="55"/>
        <v>2442.5338370260865</v>
      </c>
    </row>
    <row r="25" spans="1:24" x14ac:dyDescent="0.2">
      <c r="A25" s="42"/>
      <c r="B25" s="42"/>
      <c r="C25" s="42"/>
      <c r="D25" s="42"/>
      <c r="E25" s="39"/>
      <c r="F25" s="39"/>
      <c r="G25" s="39"/>
      <c r="H25" s="39"/>
      <c r="I25" s="39"/>
      <c r="J25" s="39"/>
      <c r="K25" s="39"/>
      <c r="L25" s="39"/>
      <c r="M25" s="39"/>
      <c r="N25" s="39"/>
      <c r="O25" s="39"/>
      <c r="P25" s="39"/>
      <c r="Q25" s="39"/>
      <c r="R25" s="39"/>
      <c r="S25" s="39"/>
      <c r="T25" s="39"/>
      <c r="U25" s="39"/>
      <c r="V25" s="39"/>
      <c r="W25" s="39"/>
      <c r="X25" s="39"/>
    </row>
    <row r="26" spans="1:24" x14ac:dyDescent="0.2">
      <c r="A26" s="83" t="s">
        <v>81</v>
      </c>
      <c r="B26" s="83"/>
      <c r="C26" s="83"/>
      <c r="D26" s="83"/>
      <c r="E26" s="83">
        <f t="shared" ref="E26:F26" si="56">E7</f>
        <v>2020</v>
      </c>
      <c r="F26" s="83">
        <f t="shared" si="56"/>
        <v>2021</v>
      </c>
      <c r="G26" s="83">
        <f t="shared" ref="G26:X26" si="57">G7</f>
        <v>2022</v>
      </c>
      <c r="H26" s="83">
        <f t="shared" si="57"/>
        <v>2023</v>
      </c>
      <c r="I26" s="83">
        <f t="shared" si="57"/>
        <v>2024</v>
      </c>
      <c r="J26" s="83">
        <f t="shared" si="57"/>
        <v>2025</v>
      </c>
      <c r="K26" s="83">
        <f t="shared" si="57"/>
        <v>2026</v>
      </c>
      <c r="L26" s="83">
        <f t="shared" si="57"/>
        <v>2027</v>
      </c>
      <c r="M26" s="83">
        <f t="shared" si="57"/>
        <v>2028</v>
      </c>
      <c r="N26" s="83">
        <f t="shared" si="57"/>
        <v>2029</v>
      </c>
      <c r="O26" s="83">
        <f t="shared" si="57"/>
        <v>2030</v>
      </c>
      <c r="P26" s="83">
        <f t="shared" si="57"/>
        <v>2031</v>
      </c>
      <c r="Q26" s="83">
        <f t="shared" si="57"/>
        <v>2032</v>
      </c>
      <c r="R26" s="83">
        <f t="shared" si="57"/>
        <v>2033</v>
      </c>
      <c r="S26" s="83">
        <f t="shared" si="57"/>
        <v>2034</v>
      </c>
      <c r="T26" s="83">
        <f t="shared" si="57"/>
        <v>2035</v>
      </c>
      <c r="U26" s="83">
        <f t="shared" si="57"/>
        <v>2036</v>
      </c>
      <c r="V26" s="83">
        <f t="shared" si="57"/>
        <v>2037</v>
      </c>
      <c r="W26" s="83">
        <f t="shared" si="57"/>
        <v>2038</v>
      </c>
      <c r="X26" s="83">
        <f t="shared" si="57"/>
        <v>2039</v>
      </c>
    </row>
    <row r="27" spans="1:24" x14ac:dyDescent="0.2">
      <c r="A27" s="41" t="s">
        <v>79</v>
      </c>
      <c r="B27" s="41"/>
      <c r="C27" s="41"/>
      <c r="D27" s="41"/>
      <c r="E27" s="147">
        <v>0</v>
      </c>
      <c r="F27" s="147">
        <f t="shared" ref="F27" si="58">E29</f>
        <v>0</v>
      </c>
      <c r="G27" s="147">
        <f t="shared" ref="G27" si="59">F29</f>
        <v>1.59302924072878</v>
      </c>
      <c r="H27" s="147">
        <f t="shared" ref="H27" si="60">G29</f>
        <v>4.7790877221863397</v>
      </c>
      <c r="I27" s="147">
        <f t="shared" ref="I27" si="61">H29</f>
        <v>12.165993626404152</v>
      </c>
      <c r="J27" s="147">
        <f t="shared" ref="J27" si="62">I29</f>
        <v>47.048667844635823</v>
      </c>
      <c r="K27" s="147">
        <f t="shared" ref="K27" si="63">J29</f>
        <v>106.55695894623705</v>
      </c>
      <c r="L27" s="147">
        <f t="shared" ref="L27" si="64">K29</f>
        <v>168.75983179474972</v>
      </c>
      <c r="M27" s="147">
        <f t="shared" ref="M27" si="65">L29</f>
        <v>233.72236999250376</v>
      </c>
      <c r="N27" s="147">
        <f t="shared" ref="N27" si="66">M29</f>
        <v>301.50861874370378</v>
      </c>
      <c r="O27" s="147">
        <f t="shared" ref="O27" si="67">N29</f>
        <v>372.18339784137373</v>
      </c>
      <c r="P27" s="147">
        <f t="shared" ref="P27" si="68">O29</f>
        <v>444.54329952708463</v>
      </c>
      <c r="Q27" s="147">
        <f t="shared" ref="Q27" si="69">P29</f>
        <v>517.35747979278119</v>
      </c>
      <c r="R27" s="147">
        <f t="shared" ref="R27" si="70">Q29</f>
        <v>590.63658407206128</v>
      </c>
      <c r="S27" s="147">
        <f t="shared" ref="S27" si="71">R29</f>
        <v>664.39155630450171</v>
      </c>
      <c r="T27" s="147">
        <f t="shared" ref="T27" si="72">S29</f>
        <v>738.63358411239585</v>
      </c>
      <c r="U27" s="147">
        <f t="shared" ref="U27" si="73">T29</f>
        <v>813.12196817675238</v>
      </c>
      <c r="V27" s="147">
        <f t="shared" ref="V27" si="74">U29</f>
        <v>887.6103522411089</v>
      </c>
      <c r="W27" s="147">
        <f t="shared" ref="W27" si="75">V29</f>
        <v>962.09873630546542</v>
      </c>
      <c r="X27" s="147">
        <f t="shared" ref="X27" si="76">W29</f>
        <v>1036.5871203698218</v>
      </c>
    </row>
    <row r="28" spans="1:24" x14ac:dyDescent="0.2">
      <c r="A28" s="150" t="s">
        <v>87</v>
      </c>
      <c r="B28" s="150"/>
      <c r="C28" s="150"/>
      <c r="D28" s="150"/>
      <c r="E28" s="148">
        <f>Assumptions!E18*E24</f>
        <v>0</v>
      </c>
      <c r="F28" s="148">
        <f>Assumptions!F18*F24</f>
        <v>1.59302924072878</v>
      </c>
      <c r="G28" s="148">
        <f>Assumptions!G18*G24</f>
        <v>3.1860584814575601</v>
      </c>
      <c r="H28" s="148">
        <f>Assumptions!H18*H24</f>
        <v>7.3869059042178122</v>
      </c>
      <c r="I28" s="148">
        <f>Assumptions!I18*I24</f>
        <v>34.882674218231671</v>
      </c>
      <c r="J28" s="148">
        <f>Assumptions!J18*J24</f>
        <v>59.50829110160123</v>
      </c>
      <c r="K28" s="148">
        <f>Assumptions!K18*K24</f>
        <v>62.202872848512676</v>
      </c>
      <c r="L28" s="148">
        <f>Assumptions!L18*L24</f>
        <v>64.962538197754043</v>
      </c>
      <c r="M28" s="148">
        <f>Assumptions!M18*M24</f>
        <v>67.786248751199992</v>
      </c>
      <c r="N28" s="148">
        <f>Assumptions!N18*N24</f>
        <v>70.674779097669941</v>
      </c>
      <c r="O28" s="148">
        <f>Assumptions!O18*O24</f>
        <v>72.359901685710923</v>
      </c>
      <c r="P28" s="148">
        <f>Assumptions!P18*P24</f>
        <v>72.814180265696606</v>
      </c>
      <c r="Q28" s="148">
        <f>Assumptions!Q18*Q24</f>
        <v>73.279104279280091</v>
      </c>
      <c r="R28" s="148">
        <f>Assumptions!R18*R24</f>
        <v>73.754972232440451</v>
      </c>
      <c r="S28" s="148">
        <f>Assumptions!S18*S24</f>
        <v>74.242027807894175</v>
      </c>
      <c r="T28" s="148">
        <f>Assumptions!T18*T24</f>
        <v>74.488384064356481</v>
      </c>
      <c r="U28" s="148">
        <f>Assumptions!U18*U24</f>
        <v>74.488384064356481</v>
      </c>
      <c r="V28" s="148">
        <f>Assumptions!V18*V24</f>
        <v>74.488384064356481</v>
      </c>
      <c r="W28" s="148">
        <f>Assumptions!W18*W24</f>
        <v>74.488384064356481</v>
      </c>
      <c r="X28" s="148">
        <f>Assumptions!X18*X24</f>
        <v>74.488384064356481</v>
      </c>
    </row>
    <row r="29" spans="1:24" x14ac:dyDescent="0.2">
      <c r="A29" s="151" t="s">
        <v>10</v>
      </c>
      <c r="B29" s="151"/>
      <c r="C29" s="151"/>
      <c r="D29" s="151"/>
      <c r="E29" s="149">
        <f t="shared" ref="E29:F29" si="77">SUM(E27:E28)</f>
        <v>0</v>
      </c>
      <c r="F29" s="149">
        <f t="shared" si="77"/>
        <v>1.59302924072878</v>
      </c>
      <c r="G29" s="149">
        <f t="shared" ref="G29:X29" si="78">SUM(G27:G28)</f>
        <v>4.7790877221863397</v>
      </c>
      <c r="H29" s="149">
        <f t="shared" si="78"/>
        <v>12.165993626404152</v>
      </c>
      <c r="I29" s="149">
        <f t="shared" si="78"/>
        <v>47.048667844635823</v>
      </c>
      <c r="J29" s="149">
        <f t="shared" si="78"/>
        <v>106.55695894623705</v>
      </c>
      <c r="K29" s="149">
        <f t="shared" si="78"/>
        <v>168.75983179474972</v>
      </c>
      <c r="L29" s="149">
        <f t="shared" si="78"/>
        <v>233.72236999250376</v>
      </c>
      <c r="M29" s="149">
        <f t="shared" si="78"/>
        <v>301.50861874370378</v>
      </c>
      <c r="N29" s="149">
        <f t="shared" si="78"/>
        <v>372.18339784137373</v>
      </c>
      <c r="O29" s="149">
        <f t="shared" si="78"/>
        <v>444.54329952708463</v>
      </c>
      <c r="P29" s="149">
        <f t="shared" si="78"/>
        <v>517.35747979278119</v>
      </c>
      <c r="Q29" s="149">
        <f t="shared" si="78"/>
        <v>590.63658407206128</v>
      </c>
      <c r="R29" s="149">
        <f t="shared" si="78"/>
        <v>664.39155630450171</v>
      </c>
      <c r="S29" s="149">
        <f t="shared" si="78"/>
        <v>738.63358411239585</v>
      </c>
      <c r="T29" s="149">
        <f t="shared" si="78"/>
        <v>813.12196817675238</v>
      </c>
      <c r="U29" s="149">
        <f t="shared" si="78"/>
        <v>887.6103522411089</v>
      </c>
      <c r="V29" s="149">
        <f t="shared" si="78"/>
        <v>962.09873630546542</v>
      </c>
      <c r="W29" s="149">
        <f t="shared" si="78"/>
        <v>1036.5871203698218</v>
      </c>
      <c r="X29" s="149">
        <f t="shared" si="78"/>
        <v>1111.0755044341784</v>
      </c>
    </row>
    <row r="30" spans="1:24" x14ac:dyDescent="0.2">
      <c r="A30" s="45" t="s">
        <v>80</v>
      </c>
      <c r="B30" s="41"/>
      <c r="C30" s="41"/>
      <c r="D30" s="41"/>
      <c r="E30" s="147">
        <f t="shared" ref="E30:F30" si="79">(E27+E29)/2</f>
        <v>0</v>
      </c>
      <c r="F30" s="147">
        <f t="shared" si="79"/>
        <v>0.79651462036439002</v>
      </c>
      <c r="G30" s="147">
        <f t="shared" ref="G30:X30" si="80">(G27+G29)/2</f>
        <v>3.1860584814575601</v>
      </c>
      <c r="H30" s="147">
        <f t="shared" si="80"/>
        <v>8.4725406742952458</v>
      </c>
      <c r="I30" s="147">
        <f t="shared" si="80"/>
        <v>29.607330735519987</v>
      </c>
      <c r="J30" s="147">
        <f t="shared" si="80"/>
        <v>76.802813395436431</v>
      </c>
      <c r="K30" s="147">
        <f t="shared" si="80"/>
        <v>137.65839537049339</v>
      </c>
      <c r="L30" s="147">
        <f t="shared" si="80"/>
        <v>201.24110089362674</v>
      </c>
      <c r="M30" s="147">
        <f t="shared" si="80"/>
        <v>267.61549436810378</v>
      </c>
      <c r="N30" s="147">
        <f t="shared" si="80"/>
        <v>336.84600829253873</v>
      </c>
      <c r="O30" s="147">
        <f t="shared" si="80"/>
        <v>408.36334868422921</v>
      </c>
      <c r="P30" s="147">
        <f t="shared" si="80"/>
        <v>480.95038965993291</v>
      </c>
      <c r="Q30" s="147">
        <f t="shared" si="80"/>
        <v>553.99703193242124</v>
      </c>
      <c r="R30" s="147">
        <f t="shared" si="80"/>
        <v>627.51407018828149</v>
      </c>
      <c r="S30" s="147">
        <f t="shared" si="80"/>
        <v>701.51257020844878</v>
      </c>
      <c r="T30" s="147">
        <f t="shared" si="80"/>
        <v>775.87777614457411</v>
      </c>
      <c r="U30" s="147">
        <f t="shared" si="80"/>
        <v>850.36616020893064</v>
      </c>
      <c r="V30" s="147">
        <f t="shared" si="80"/>
        <v>924.85454427328716</v>
      </c>
      <c r="W30" s="147">
        <f t="shared" si="80"/>
        <v>999.34292833764357</v>
      </c>
      <c r="X30" s="147">
        <f t="shared" si="80"/>
        <v>1073.8313124020001</v>
      </c>
    </row>
    <row r="31" spans="1:24" x14ac:dyDescent="0.2">
      <c r="A31" s="42"/>
      <c r="B31" s="42"/>
      <c r="C31" s="42"/>
      <c r="D31" s="42"/>
      <c r="E31" s="39"/>
      <c r="F31" s="39"/>
      <c r="G31" s="39"/>
      <c r="H31" s="39"/>
      <c r="I31" s="39"/>
      <c r="J31" s="39"/>
      <c r="K31" s="39"/>
      <c r="L31" s="39"/>
      <c r="M31" s="39"/>
      <c r="N31" s="39"/>
      <c r="O31" s="39"/>
      <c r="P31" s="39"/>
      <c r="Q31" s="39"/>
      <c r="R31" s="39"/>
      <c r="S31" s="39"/>
      <c r="T31" s="39"/>
      <c r="U31" s="39"/>
      <c r="V31" s="39"/>
      <c r="W31" s="39"/>
      <c r="X31" s="39"/>
    </row>
    <row r="32" spans="1:24" x14ac:dyDescent="0.2">
      <c r="A32" s="83" t="s">
        <v>85</v>
      </c>
      <c r="B32" s="83"/>
      <c r="C32" s="83"/>
      <c r="D32" s="83"/>
      <c r="E32" s="83">
        <f t="shared" ref="E32:F32" si="81">E7</f>
        <v>2020</v>
      </c>
      <c r="F32" s="83">
        <f t="shared" si="81"/>
        <v>2021</v>
      </c>
      <c r="G32" s="83">
        <f t="shared" ref="G32:X32" si="82">G7</f>
        <v>2022</v>
      </c>
      <c r="H32" s="83">
        <f t="shared" si="82"/>
        <v>2023</v>
      </c>
      <c r="I32" s="83">
        <f t="shared" si="82"/>
        <v>2024</v>
      </c>
      <c r="J32" s="83">
        <f t="shared" si="82"/>
        <v>2025</v>
      </c>
      <c r="K32" s="83">
        <f t="shared" si="82"/>
        <v>2026</v>
      </c>
      <c r="L32" s="83">
        <f t="shared" si="82"/>
        <v>2027</v>
      </c>
      <c r="M32" s="83">
        <f t="shared" si="82"/>
        <v>2028</v>
      </c>
      <c r="N32" s="83">
        <f t="shared" si="82"/>
        <v>2029</v>
      </c>
      <c r="O32" s="83">
        <f t="shared" si="82"/>
        <v>2030</v>
      </c>
      <c r="P32" s="83">
        <f t="shared" si="82"/>
        <v>2031</v>
      </c>
      <c r="Q32" s="83">
        <f t="shared" si="82"/>
        <v>2032</v>
      </c>
      <c r="R32" s="83">
        <f t="shared" si="82"/>
        <v>2033</v>
      </c>
      <c r="S32" s="83">
        <f t="shared" si="82"/>
        <v>2034</v>
      </c>
      <c r="T32" s="83">
        <f t="shared" si="82"/>
        <v>2035</v>
      </c>
      <c r="U32" s="83">
        <f t="shared" si="82"/>
        <v>2036</v>
      </c>
      <c r="V32" s="83">
        <f t="shared" si="82"/>
        <v>2037</v>
      </c>
      <c r="W32" s="83">
        <f t="shared" si="82"/>
        <v>2038</v>
      </c>
      <c r="X32" s="83">
        <f t="shared" si="82"/>
        <v>2039</v>
      </c>
    </row>
    <row r="33" spans="1:24" x14ac:dyDescent="0.2">
      <c r="A33" s="41" t="s">
        <v>82</v>
      </c>
      <c r="B33" s="41"/>
      <c r="C33" s="41"/>
      <c r="D33" s="41"/>
      <c r="E33" s="147">
        <f t="shared" ref="E33:F33" si="83">E24</f>
        <v>0</v>
      </c>
      <c r="F33" s="147">
        <f t="shared" si="83"/>
        <v>52.236706068025988</v>
      </c>
      <c r="G33" s="147">
        <f t="shared" ref="G33:X33" si="84">G24</f>
        <v>104.47341213605198</v>
      </c>
      <c r="H33" s="147">
        <f t="shared" si="84"/>
        <v>242.22256729842863</v>
      </c>
      <c r="I33" s="147">
        <f t="shared" si="84"/>
        <v>1143.830855967763</v>
      </c>
      <c r="J33" s="147">
        <f t="shared" si="84"/>
        <v>1951.3245779862668</v>
      </c>
      <c r="K33" s="147">
        <f t="shared" si="84"/>
        <v>2039.6820739386249</v>
      </c>
      <c r="L33" s="147">
        <f t="shared" si="84"/>
        <v>2130.1737133943379</v>
      </c>
      <c r="M33" s="147">
        <f t="shared" si="84"/>
        <v>2222.7654464463067</v>
      </c>
      <c r="N33" s="147">
        <f t="shared" si="84"/>
        <v>2317.4826724829709</v>
      </c>
      <c r="O33" s="147">
        <f t="shared" si="84"/>
        <v>2372.7391932482888</v>
      </c>
      <c r="P33" s="147">
        <f t="shared" si="84"/>
        <v>2387.6353521190804</v>
      </c>
      <c r="Q33" s="147">
        <f t="shared" si="84"/>
        <v>2402.8805832928765</v>
      </c>
      <c r="R33" s="147">
        <f t="shared" si="84"/>
        <v>2418.4846750200686</v>
      </c>
      <c r="S33" s="147">
        <f t="shared" si="84"/>
        <v>2434.4556178523108</v>
      </c>
      <c r="T33" s="147">
        <f t="shared" si="84"/>
        <v>2442.5338370260865</v>
      </c>
      <c r="U33" s="147">
        <f t="shared" si="84"/>
        <v>2442.5338370260865</v>
      </c>
      <c r="V33" s="147">
        <f t="shared" si="84"/>
        <v>2442.5338370260865</v>
      </c>
      <c r="W33" s="147">
        <f t="shared" si="84"/>
        <v>2442.5338370260865</v>
      </c>
      <c r="X33" s="147">
        <f t="shared" si="84"/>
        <v>2442.5338370260865</v>
      </c>
    </row>
    <row r="34" spans="1:24" x14ac:dyDescent="0.2">
      <c r="A34" s="41" t="s">
        <v>135</v>
      </c>
      <c r="B34" s="41"/>
      <c r="C34" s="41"/>
      <c r="D34" s="41"/>
      <c r="E34" s="147">
        <f t="shared" ref="E34:F34" si="85">-E30</f>
        <v>0</v>
      </c>
      <c r="F34" s="147">
        <f t="shared" si="85"/>
        <v>-0.79651462036439002</v>
      </c>
      <c r="G34" s="147">
        <f t="shared" ref="G34:X34" si="86">-G30</f>
        <v>-3.1860584814575601</v>
      </c>
      <c r="H34" s="147">
        <f t="shared" si="86"/>
        <v>-8.4725406742952458</v>
      </c>
      <c r="I34" s="147">
        <f t="shared" si="86"/>
        <v>-29.607330735519987</v>
      </c>
      <c r="J34" s="147">
        <f t="shared" si="86"/>
        <v>-76.802813395436431</v>
      </c>
      <c r="K34" s="147">
        <f t="shared" si="86"/>
        <v>-137.65839537049339</v>
      </c>
      <c r="L34" s="147">
        <f t="shared" si="86"/>
        <v>-201.24110089362674</v>
      </c>
      <c r="M34" s="147">
        <f t="shared" si="86"/>
        <v>-267.61549436810378</v>
      </c>
      <c r="N34" s="147">
        <f t="shared" si="86"/>
        <v>-336.84600829253873</v>
      </c>
      <c r="O34" s="147">
        <f t="shared" si="86"/>
        <v>-408.36334868422921</v>
      </c>
      <c r="P34" s="147">
        <f t="shared" si="86"/>
        <v>-480.95038965993291</v>
      </c>
      <c r="Q34" s="147">
        <f t="shared" si="86"/>
        <v>-553.99703193242124</v>
      </c>
      <c r="R34" s="147">
        <f t="shared" si="86"/>
        <v>-627.51407018828149</v>
      </c>
      <c r="S34" s="147">
        <f t="shared" si="86"/>
        <v>-701.51257020844878</v>
      </c>
      <c r="T34" s="147">
        <f t="shared" si="86"/>
        <v>-775.87777614457411</v>
      </c>
      <c r="U34" s="147">
        <f t="shared" si="86"/>
        <v>-850.36616020893064</v>
      </c>
      <c r="V34" s="147">
        <f t="shared" si="86"/>
        <v>-924.85454427328716</v>
      </c>
      <c r="W34" s="147">
        <f t="shared" si="86"/>
        <v>-999.34292833764357</v>
      </c>
      <c r="X34" s="147">
        <f t="shared" si="86"/>
        <v>-1073.8313124020001</v>
      </c>
    </row>
    <row r="35" spans="1:24" x14ac:dyDescent="0.2">
      <c r="A35" s="153" t="s">
        <v>83</v>
      </c>
      <c r="B35" s="151"/>
      <c r="C35" s="151"/>
      <c r="D35" s="151"/>
      <c r="E35" s="149">
        <f t="shared" ref="E35:F35" si="87">SUM(E33:E34)</f>
        <v>0</v>
      </c>
      <c r="F35" s="149">
        <f t="shared" si="87"/>
        <v>51.440191447661597</v>
      </c>
      <c r="G35" s="149">
        <f t="shared" ref="G35:X35" si="88">SUM(G33:G34)</f>
        <v>101.28735365459441</v>
      </c>
      <c r="H35" s="149">
        <f t="shared" si="88"/>
        <v>233.7500266241334</v>
      </c>
      <c r="I35" s="149">
        <f t="shared" si="88"/>
        <v>1114.223525232243</v>
      </c>
      <c r="J35" s="149">
        <f t="shared" si="88"/>
        <v>1874.5217645908303</v>
      </c>
      <c r="K35" s="149">
        <f t="shared" si="88"/>
        <v>1902.0236785681313</v>
      </c>
      <c r="L35" s="149">
        <f t="shared" si="88"/>
        <v>1928.9326125007112</v>
      </c>
      <c r="M35" s="149">
        <f t="shared" si="88"/>
        <v>1955.1499520782029</v>
      </c>
      <c r="N35" s="149">
        <f t="shared" si="88"/>
        <v>1980.6366641904322</v>
      </c>
      <c r="O35" s="149">
        <f t="shared" si="88"/>
        <v>1964.3758445640597</v>
      </c>
      <c r="P35" s="149">
        <f t="shared" si="88"/>
        <v>1906.6849624591475</v>
      </c>
      <c r="Q35" s="149">
        <f t="shared" si="88"/>
        <v>1848.8835513604554</v>
      </c>
      <c r="R35" s="149">
        <f t="shared" si="88"/>
        <v>1790.9706048317871</v>
      </c>
      <c r="S35" s="149">
        <f t="shared" si="88"/>
        <v>1732.943047643862</v>
      </c>
      <c r="T35" s="149">
        <f t="shared" si="88"/>
        <v>1666.6560608815125</v>
      </c>
      <c r="U35" s="149">
        <f t="shared" si="88"/>
        <v>1592.167676817156</v>
      </c>
      <c r="V35" s="149">
        <f t="shared" si="88"/>
        <v>1517.6792927527995</v>
      </c>
      <c r="W35" s="149">
        <f t="shared" si="88"/>
        <v>1443.190908688443</v>
      </c>
      <c r="X35" s="149">
        <f t="shared" si="88"/>
        <v>1368.7025246240864</v>
      </c>
    </row>
    <row r="36" spans="1:24" x14ac:dyDescent="0.2">
      <c r="A36" s="31" t="s">
        <v>4</v>
      </c>
      <c r="B36" s="31"/>
      <c r="C36" s="31"/>
      <c r="D36" s="31"/>
      <c r="E36" s="39"/>
      <c r="F36" s="39"/>
      <c r="G36" s="39"/>
      <c r="H36" s="39"/>
      <c r="I36" s="39"/>
      <c r="J36" s="39"/>
      <c r="K36" s="39"/>
      <c r="L36" s="39"/>
      <c r="M36" s="39"/>
      <c r="N36" s="39"/>
      <c r="O36" s="39"/>
      <c r="P36" s="39"/>
      <c r="Q36" s="39"/>
      <c r="R36" s="39"/>
      <c r="S36" s="39"/>
      <c r="T36" s="39"/>
      <c r="U36" s="39"/>
      <c r="V36" s="39"/>
      <c r="W36" s="39"/>
      <c r="X36" s="39"/>
    </row>
    <row r="37" spans="1:24" x14ac:dyDescent="0.2">
      <c r="A37" s="83" t="s">
        <v>84</v>
      </c>
      <c r="B37" s="83"/>
      <c r="C37" s="83"/>
      <c r="D37" s="83"/>
      <c r="E37" s="83">
        <f t="shared" ref="E37:F37" si="89">E7</f>
        <v>2020</v>
      </c>
      <c r="F37" s="83">
        <f t="shared" si="89"/>
        <v>2021</v>
      </c>
      <c r="G37" s="83">
        <f t="shared" ref="G37:X37" si="90">G7</f>
        <v>2022</v>
      </c>
      <c r="H37" s="83">
        <f t="shared" si="90"/>
        <v>2023</v>
      </c>
      <c r="I37" s="83">
        <f t="shared" si="90"/>
        <v>2024</v>
      </c>
      <c r="J37" s="83">
        <f t="shared" si="90"/>
        <v>2025</v>
      </c>
      <c r="K37" s="83">
        <f t="shared" si="90"/>
        <v>2026</v>
      </c>
      <c r="L37" s="83">
        <f t="shared" si="90"/>
        <v>2027</v>
      </c>
      <c r="M37" s="83">
        <f t="shared" si="90"/>
        <v>2028</v>
      </c>
      <c r="N37" s="83">
        <f t="shared" si="90"/>
        <v>2029</v>
      </c>
      <c r="O37" s="83">
        <f t="shared" si="90"/>
        <v>2030</v>
      </c>
      <c r="P37" s="83">
        <f t="shared" si="90"/>
        <v>2031</v>
      </c>
      <c r="Q37" s="83">
        <f t="shared" si="90"/>
        <v>2032</v>
      </c>
      <c r="R37" s="83">
        <f t="shared" si="90"/>
        <v>2033</v>
      </c>
      <c r="S37" s="83">
        <f t="shared" si="90"/>
        <v>2034</v>
      </c>
      <c r="T37" s="83">
        <f t="shared" si="90"/>
        <v>2035</v>
      </c>
      <c r="U37" s="83">
        <f t="shared" si="90"/>
        <v>2036</v>
      </c>
      <c r="V37" s="83">
        <f t="shared" si="90"/>
        <v>2037</v>
      </c>
      <c r="W37" s="83">
        <f t="shared" si="90"/>
        <v>2038</v>
      </c>
      <c r="X37" s="83">
        <f t="shared" si="90"/>
        <v>2039</v>
      </c>
    </row>
    <row r="38" spans="1:24" x14ac:dyDescent="0.2">
      <c r="A38" s="47" t="s">
        <v>86</v>
      </c>
      <c r="B38" s="47"/>
      <c r="C38" s="47"/>
      <c r="D38" s="47"/>
      <c r="E38" s="147">
        <f t="shared" ref="E38" si="91">E17</f>
        <v>0</v>
      </c>
      <c r="F38" s="147">
        <f t="shared" ref="F38" si="92">F17</f>
        <v>1.6177940210289574</v>
      </c>
      <c r="G38" s="147">
        <f t="shared" ref="G38:X38" si="93">G17</f>
        <v>3.1854872724369945</v>
      </c>
      <c r="H38" s="147">
        <f t="shared" si="93"/>
        <v>7.3514383373289958</v>
      </c>
      <c r="I38" s="147">
        <f t="shared" si="93"/>
        <v>35.042329868554049</v>
      </c>
      <c r="J38" s="147">
        <f t="shared" si="93"/>
        <v>58.95370949638162</v>
      </c>
      <c r="K38" s="147">
        <f t="shared" si="93"/>
        <v>59.818644690967737</v>
      </c>
      <c r="L38" s="147">
        <f t="shared" si="93"/>
        <v>60.664930663147373</v>
      </c>
      <c r="M38" s="147">
        <f t="shared" si="93"/>
        <v>61.489465992859486</v>
      </c>
      <c r="N38" s="147">
        <f t="shared" si="93"/>
        <v>62.291023088789096</v>
      </c>
      <c r="O38" s="147">
        <f t="shared" si="93"/>
        <v>61.779620311539688</v>
      </c>
      <c r="P38" s="147">
        <f t="shared" si="93"/>
        <v>59.965242069340192</v>
      </c>
      <c r="Q38" s="147">
        <f t="shared" si="93"/>
        <v>58.14738769028633</v>
      </c>
      <c r="R38" s="147">
        <f t="shared" si="93"/>
        <v>56.326025521959707</v>
      </c>
      <c r="S38" s="147">
        <f t="shared" si="93"/>
        <v>54.501058848399467</v>
      </c>
      <c r="T38" s="147">
        <f t="shared" si="93"/>
        <v>52.416333114723571</v>
      </c>
      <c r="U38" s="147">
        <f t="shared" si="93"/>
        <v>50.073673435899558</v>
      </c>
      <c r="V38" s="147">
        <f t="shared" si="93"/>
        <v>47.731013757075551</v>
      </c>
      <c r="W38" s="147">
        <f t="shared" si="93"/>
        <v>45.388354078251531</v>
      </c>
      <c r="X38" s="147">
        <f t="shared" si="93"/>
        <v>43.045694399427525</v>
      </c>
    </row>
    <row r="39" spans="1:24" x14ac:dyDescent="0.2">
      <c r="A39" s="47" t="s">
        <v>5</v>
      </c>
      <c r="B39" s="47"/>
      <c r="C39" s="47"/>
      <c r="D39" s="47"/>
      <c r="E39" s="147">
        <f>E38/(1-Assumptions!E17)</f>
        <v>0</v>
      </c>
      <c r="F39" s="147">
        <f>F38/(1-Assumptions!F17)</f>
        <v>2.2161561931903528</v>
      </c>
      <c r="G39" s="147">
        <f>G38/(1-Assumptions!G17)</f>
        <v>4.3636811951191703</v>
      </c>
      <c r="H39" s="147">
        <f>H38/(1-Assumptions!H17)</f>
        <v>10.070463475793145</v>
      </c>
      <c r="I39" s="147">
        <f>I38/(1-Assumptions!I17)</f>
        <v>48.003191600758974</v>
      </c>
      <c r="J39" s="147">
        <f>J38/(1-Assumptions!J17)</f>
        <v>80.758506159426872</v>
      </c>
      <c r="K39" s="147">
        <f>K38/(1-Assumptions!K17)</f>
        <v>81.943348891736633</v>
      </c>
      <c r="L39" s="147">
        <f>L38/(1-Assumptions!L17)</f>
        <v>83.102644744037505</v>
      </c>
      <c r="M39" s="147">
        <f>M38/(1-Assumptions!M17)</f>
        <v>84.232145195697925</v>
      </c>
      <c r="N39" s="147">
        <f>N38/(1-Assumptions!N17)</f>
        <v>85.330168614779581</v>
      </c>
      <c r="O39" s="147">
        <f>O38/(1-Assumptions!O17)</f>
        <v>84.629616865122856</v>
      </c>
      <c r="P39" s="147">
        <f>P38/(1-Assumptions!P17)</f>
        <v>82.144167218274234</v>
      </c>
      <c r="Q39" s="147">
        <f>Q38/(1-Assumptions!Q17)</f>
        <v>79.653955740118263</v>
      </c>
      <c r="R39" s="147">
        <f>R38/(1-Assumptions!R17)</f>
        <v>77.158939071177684</v>
      </c>
      <c r="S39" s="147">
        <f>S38/(1-Assumptions!S17)</f>
        <v>74.658984723834891</v>
      </c>
      <c r="T39" s="147">
        <f>T38/(1-Assumptions!T17)</f>
        <v>71.803196047566544</v>
      </c>
      <c r="U39" s="147">
        <f>U38/(1-Assumptions!U17)</f>
        <v>68.594073199862407</v>
      </c>
      <c r="V39" s="147">
        <f>V38/(1-Assumptions!V17)</f>
        <v>65.384950352158285</v>
      </c>
      <c r="W39" s="147">
        <f>W38/(1-Assumptions!W17)</f>
        <v>62.175827504454155</v>
      </c>
      <c r="X39" s="147">
        <f>X38/(1-Assumptions!X17)</f>
        <v>58.966704656750032</v>
      </c>
    </row>
    <row r="40" spans="1:24" x14ac:dyDescent="0.2">
      <c r="A40" s="47" t="s">
        <v>6</v>
      </c>
      <c r="B40" s="47"/>
      <c r="C40" s="47"/>
      <c r="D40" s="47"/>
      <c r="E40" s="147">
        <f>E39*Assumptions!E17</f>
        <v>0</v>
      </c>
      <c r="F40" s="147">
        <f>F39*Assumptions!F17</f>
        <v>0.59836217216139531</v>
      </c>
      <c r="G40" s="147">
        <f>G39*Assumptions!G17</f>
        <v>1.178193922682176</v>
      </c>
      <c r="H40" s="147">
        <f>H39*Assumptions!H17</f>
        <v>2.7190251384641493</v>
      </c>
      <c r="I40" s="147">
        <f>I39*Assumptions!I17</f>
        <v>12.960861732204924</v>
      </c>
      <c r="J40" s="147">
        <f>J39*Assumptions!J17</f>
        <v>21.804796663045256</v>
      </c>
      <c r="K40" s="147">
        <f>K39*Assumptions!K17</f>
        <v>22.124704200768893</v>
      </c>
      <c r="L40" s="147">
        <f>L39*Assumptions!L17</f>
        <v>22.437714080890128</v>
      </c>
      <c r="M40" s="147">
        <f>M39*Assumptions!M17</f>
        <v>22.742679202838442</v>
      </c>
      <c r="N40" s="147">
        <f>N39*Assumptions!N17</f>
        <v>23.039145525990488</v>
      </c>
      <c r="O40" s="147">
        <f>O39*Assumptions!O17</f>
        <v>22.849996553583171</v>
      </c>
      <c r="P40" s="147">
        <f>P39*Assumptions!P17</f>
        <v>22.178925148934045</v>
      </c>
      <c r="Q40" s="147">
        <f>Q39*Assumptions!Q17</f>
        <v>21.506568049831934</v>
      </c>
      <c r="R40" s="147">
        <f>R39*Assumptions!R17</f>
        <v>20.832913549217977</v>
      </c>
      <c r="S40" s="147">
        <f>S39*Assumptions!S17</f>
        <v>20.157925875435421</v>
      </c>
      <c r="T40" s="147">
        <f>T39*Assumptions!T17</f>
        <v>19.38686293284297</v>
      </c>
      <c r="U40" s="147">
        <f>U39*Assumptions!U17</f>
        <v>18.52039976396285</v>
      </c>
      <c r="V40" s="147">
        <f>V39*Assumptions!V17</f>
        <v>17.653936595082737</v>
      </c>
      <c r="W40" s="147">
        <f>W39*Assumptions!W17</f>
        <v>16.787473426202624</v>
      </c>
      <c r="X40" s="147">
        <f>X39*Assumptions!X17</f>
        <v>15.921010257322509</v>
      </c>
    </row>
  </sheetData>
  <conditionalFormatting sqref="A11:X40">
    <cfRule type="expression" dxfId="0" priority="40">
      <formula>#REF!&lt;&gt;"AFUDC"</formula>
    </cfRule>
  </conditionalFormatting>
  <pageMargins left="0.5" right="0.5" top="0.75" bottom="0.75" header="0.5" footer="0.25"/>
  <pageSetup paperSize="17"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GridLines="0" topLeftCell="A88" zoomScale="150" zoomScaleNormal="150" workbookViewId="0">
      <selection activeCell="B11" sqref="B11"/>
    </sheetView>
  </sheetViews>
  <sheetFormatPr defaultColWidth="10.7109375" defaultRowHeight="12.75" x14ac:dyDescent="0.2"/>
  <cols>
    <col min="1" max="1" width="2.7109375" style="25" customWidth="1"/>
    <col min="2" max="2" width="15.7109375" style="25" customWidth="1"/>
    <col min="3" max="3" width="3.7109375" style="25" customWidth="1"/>
    <col min="4" max="9" width="10.7109375" style="25"/>
    <col min="10" max="10" width="14.7109375" style="25" customWidth="1"/>
    <col min="11" max="16384" width="10.7109375" style="25"/>
  </cols>
  <sheetData>
    <row r="1" spans="1:3" x14ac:dyDescent="0.2">
      <c r="A1" s="52" t="str">
        <f>Assumptions!A1</f>
        <v>Alberta Electric System Operator</v>
      </c>
      <c r="B1" s="52"/>
      <c r="C1" s="52"/>
    </row>
    <row r="2" spans="1:3" x14ac:dyDescent="0.2">
      <c r="A2" s="52" t="str">
        <f>Assumptions!A2</f>
        <v>Preliminary rates and bill projections</v>
      </c>
      <c r="B2" s="52"/>
      <c r="C2" s="52"/>
    </row>
    <row r="3" spans="1:3" x14ac:dyDescent="0.2">
      <c r="A3" s="52" t="str">
        <f>Assumptions!A3</f>
        <v>For discussion purposes</v>
      </c>
      <c r="B3" s="52"/>
      <c r="C3" s="52"/>
    </row>
    <row r="4" spans="1:3" x14ac:dyDescent="0.2">
      <c r="A4" s="52" t="str">
        <f>Assumptions!A4</f>
        <v>Version 1.0-Conceptual dated March 12, 2020</v>
      </c>
      <c r="B4" s="28"/>
      <c r="C4" s="28"/>
    </row>
    <row r="5" spans="1:3" x14ac:dyDescent="0.2">
      <c r="A5" s="52"/>
      <c r="B5" s="28"/>
      <c r="C5" s="28"/>
    </row>
    <row r="6" spans="1:3" s="24" customFormat="1" x14ac:dyDescent="0.2">
      <c r="A6" s="52" t="s">
        <v>246</v>
      </c>
      <c r="B6" s="52"/>
      <c r="C6" s="52"/>
    </row>
    <row r="7" spans="1:3" x14ac:dyDescent="0.2">
      <c r="A7" s="28" t="s">
        <v>331</v>
      </c>
      <c r="B7" s="28"/>
      <c r="C7" s="28"/>
    </row>
    <row r="8" spans="1:3" x14ac:dyDescent="0.2">
      <c r="A8" s="25" t="s">
        <v>272</v>
      </c>
      <c r="B8" s="28"/>
      <c r="C8" s="28"/>
    </row>
    <row r="9" spans="1:3" x14ac:dyDescent="0.2">
      <c r="A9" s="25" t="s">
        <v>298</v>
      </c>
      <c r="B9" s="28"/>
      <c r="C9" s="28"/>
    </row>
    <row r="10" spans="1:3" x14ac:dyDescent="0.2">
      <c r="A10" s="25" t="s">
        <v>299</v>
      </c>
      <c r="B10" s="28"/>
      <c r="C10" s="28"/>
    </row>
    <row r="11" spans="1:3" x14ac:dyDescent="0.2">
      <c r="A11" s="25" t="s">
        <v>273</v>
      </c>
      <c r="B11" s="28"/>
      <c r="C11" s="28"/>
    </row>
    <row r="12" spans="1:3" x14ac:dyDescent="0.2">
      <c r="B12" s="28"/>
      <c r="C12" s="28"/>
    </row>
    <row r="13" spans="1:3" s="24" customFormat="1" x14ac:dyDescent="0.2">
      <c r="A13" s="52" t="s">
        <v>163</v>
      </c>
      <c r="B13" s="52"/>
      <c r="C13" s="52"/>
    </row>
    <row r="14" spans="1:3" x14ac:dyDescent="0.2">
      <c r="A14" s="28" t="s">
        <v>271</v>
      </c>
      <c r="B14" s="28"/>
      <c r="C14" s="28"/>
    </row>
    <row r="15" spans="1:3" x14ac:dyDescent="0.2">
      <c r="A15" s="28" t="s">
        <v>300</v>
      </c>
      <c r="B15" s="28"/>
      <c r="C15" s="28"/>
    </row>
    <row r="16" spans="1:3" x14ac:dyDescent="0.2">
      <c r="A16" s="28" t="s">
        <v>301</v>
      </c>
      <c r="B16" s="28"/>
      <c r="C16" s="28"/>
    </row>
    <row r="17" spans="1:3" x14ac:dyDescent="0.2">
      <c r="A17" s="28" t="s">
        <v>302</v>
      </c>
      <c r="B17" s="28"/>
      <c r="C17" s="28"/>
    </row>
    <row r="18" spans="1:3" x14ac:dyDescent="0.2">
      <c r="A18" s="25" t="s">
        <v>303</v>
      </c>
      <c r="B18" s="28"/>
      <c r="C18" s="28"/>
    </row>
    <row r="19" spans="1:3" x14ac:dyDescent="0.2">
      <c r="B19" s="28"/>
      <c r="C19" s="28"/>
    </row>
    <row r="20" spans="1:3" x14ac:dyDescent="0.2">
      <c r="A20" s="28" t="s">
        <v>274</v>
      </c>
      <c r="B20" s="28"/>
      <c r="C20" s="28"/>
    </row>
    <row r="21" spans="1:3" x14ac:dyDescent="0.2">
      <c r="A21" s="28" t="s">
        <v>332</v>
      </c>
      <c r="B21" s="28"/>
      <c r="C21" s="28"/>
    </row>
    <row r="22" spans="1:3" x14ac:dyDescent="0.2">
      <c r="A22" s="28"/>
      <c r="B22" s="28"/>
      <c r="C22" s="28"/>
    </row>
    <row r="23" spans="1:3" s="24" customFormat="1" x14ac:dyDescent="0.2">
      <c r="A23" s="52" t="s">
        <v>164</v>
      </c>
      <c r="B23" s="52"/>
      <c r="C23" s="52"/>
    </row>
    <row r="24" spans="1:3" x14ac:dyDescent="0.2">
      <c r="A24" s="28" t="s">
        <v>275</v>
      </c>
      <c r="B24" s="28"/>
      <c r="C24" s="28"/>
    </row>
    <row r="25" spans="1:3" x14ac:dyDescent="0.2">
      <c r="A25" s="28" t="s">
        <v>165</v>
      </c>
      <c r="B25" s="28"/>
      <c r="C25" s="28"/>
    </row>
    <row r="26" spans="1:3" x14ac:dyDescent="0.2">
      <c r="A26" s="28" t="s">
        <v>166</v>
      </c>
      <c r="B26" s="28"/>
      <c r="C26" s="28"/>
    </row>
    <row r="27" spans="1:3" x14ac:dyDescent="0.2">
      <c r="A27" s="28" t="s">
        <v>167</v>
      </c>
      <c r="B27" s="28"/>
      <c r="C27" s="28"/>
    </row>
    <row r="28" spans="1:3" x14ac:dyDescent="0.2">
      <c r="A28" s="28"/>
      <c r="B28" s="28"/>
      <c r="C28" s="28"/>
    </row>
    <row r="29" spans="1:3" s="24" customFormat="1" x14ac:dyDescent="0.2">
      <c r="A29" s="52" t="s">
        <v>168</v>
      </c>
      <c r="B29" s="52"/>
      <c r="C29" s="52"/>
    </row>
    <row r="30" spans="1:3" x14ac:dyDescent="0.2">
      <c r="A30" s="28" t="s">
        <v>276</v>
      </c>
      <c r="B30" s="28"/>
      <c r="C30" s="28"/>
    </row>
    <row r="31" spans="1:3" x14ac:dyDescent="0.2">
      <c r="A31" s="28" t="s">
        <v>175</v>
      </c>
      <c r="B31" s="28"/>
      <c r="C31" s="28"/>
    </row>
    <row r="32" spans="1:3" x14ac:dyDescent="0.2">
      <c r="A32" s="28" t="s">
        <v>277</v>
      </c>
      <c r="B32" s="28"/>
      <c r="C32" s="28"/>
    </row>
    <row r="33" spans="1:3" x14ac:dyDescent="0.2">
      <c r="A33" s="28"/>
      <c r="B33" s="28"/>
      <c r="C33" s="28"/>
    </row>
    <row r="34" spans="1:3" x14ac:dyDescent="0.2">
      <c r="A34" s="190" t="s">
        <v>170</v>
      </c>
      <c r="B34" s="28" t="s">
        <v>284</v>
      </c>
      <c r="C34" s="28"/>
    </row>
    <row r="35" spans="1:3" x14ac:dyDescent="0.2">
      <c r="A35" s="28"/>
      <c r="B35" s="28" t="s">
        <v>169</v>
      </c>
      <c r="C35" s="28"/>
    </row>
    <row r="36" spans="1:3" x14ac:dyDescent="0.2">
      <c r="A36" s="28"/>
      <c r="B36" s="28" t="s">
        <v>333</v>
      </c>
      <c r="C36" s="28"/>
    </row>
    <row r="37" spans="1:3" x14ac:dyDescent="0.2">
      <c r="A37" s="28"/>
      <c r="B37" s="28"/>
      <c r="C37" s="28"/>
    </row>
    <row r="38" spans="1:3" x14ac:dyDescent="0.2">
      <c r="A38" s="190" t="s">
        <v>170</v>
      </c>
      <c r="B38" s="28" t="s">
        <v>196</v>
      </c>
      <c r="C38" s="28"/>
    </row>
    <row r="39" spans="1:3" x14ac:dyDescent="0.2">
      <c r="A39" s="28"/>
      <c r="B39" s="28" t="s">
        <v>197</v>
      </c>
      <c r="C39" s="28"/>
    </row>
    <row r="40" spans="1:3" x14ac:dyDescent="0.2">
      <c r="A40" s="28"/>
      <c r="B40" s="28" t="s">
        <v>285</v>
      </c>
      <c r="C40" s="28"/>
    </row>
    <row r="41" spans="1:3" x14ac:dyDescent="0.2">
      <c r="A41" s="28"/>
      <c r="B41" s="28" t="s">
        <v>334</v>
      </c>
      <c r="C41" s="28"/>
    </row>
    <row r="42" spans="1:3" x14ac:dyDescent="0.2">
      <c r="A42" s="28"/>
      <c r="B42" s="28" t="s">
        <v>286</v>
      </c>
      <c r="C42" s="28"/>
    </row>
    <row r="43" spans="1:3" x14ac:dyDescent="0.2">
      <c r="A43" s="28"/>
      <c r="B43" s="28" t="s">
        <v>287</v>
      </c>
      <c r="C43" s="28"/>
    </row>
    <row r="44" spans="1:3" x14ac:dyDescent="0.2">
      <c r="A44" s="28"/>
      <c r="B44" s="28" t="s">
        <v>335</v>
      </c>
      <c r="C44" s="28"/>
    </row>
    <row r="45" spans="1:3" x14ac:dyDescent="0.2">
      <c r="A45" s="28"/>
      <c r="B45" s="28" t="s">
        <v>336</v>
      </c>
      <c r="C45" s="28"/>
    </row>
    <row r="46" spans="1:3" x14ac:dyDescent="0.2">
      <c r="A46" s="28"/>
      <c r="B46" s="28" t="s">
        <v>337</v>
      </c>
      <c r="C46" s="28"/>
    </row>
    <row r="47" spans="1:3" x14ac:dyDescent="0.2">
      <c r="A47" s="28"/>
      <c r="B47" s="28" t="s">
        <v>338</v>
      </c>
      <c r="C47" s="28"/>
    </row>
    <row r="48" spans="1:3" x14ac:dyDescent="0.2">
      <c r="A48" s="28"/>
      <c r="B48" s="28"/>
      <c r="C48" s="28"/>
    </row>
    <row r="49" spans="1:3" x14ac:dyDescent="0.2">
      <c r="A49" s="190" t="s">
        <v>170</v>
      </c>
      <c r="B49" s="28" t="s">
        <v>339</v>
      </c>
      <c r="C49" s="28"/>
    </row>
    <row r="50" spans="1:3" x14ac:dyDescent="0.2">
      <c r="A50" s="28"/>
      <c r="B50" s="28" t="s">
        <v>340</v>
      </c>
      <c r="C50" s="28"/>
    </row>
    <row r="51" spans="1:3" x14ac:dyDescent="0.2">
      <c r="A51" s="28"/>
      <c r="B51" s="28" t="s">
        <v>341</v>
      </c>
      <c r="C51" s="28"/>
    </row>
    <row r="52" spans="1:3" x14ac:dyDescent="0.2">
      <c r="A52" s="28"/>
      <c r="B52" s="28"/>
      <c r="C52" s="28"/>
    </row>
    <row r="53" spans="1:3" x14ac:dyDescent="0.2">
      <c r="A53" s="190" t="s">
        <v>170</v>
      </c>
      <c r="B53" s="28" t="s">
        <v>278</v>
      </c>
      <c r="C53" s="28"/>
    </row>
    <row r="54" spans="1:3" x14ac:dyDescent="0.2">
      <c r="A54" s="28"/>
      <c r="B54" s="28" t="s">
        <v>279</v>
      </c>
      <c r="C54" s="28"/>
    </row>
    <row r="55" spans="1:3" x14ac:dyDescent="0.2">
      <c r="A55" s="28"/>
      <c r="B55" s="28" t="s">
        <v>342</v>
      </c>
      <c r="C55" s="28"/>
    </row>
    <row r="56" spans="1:3" x14ac:dyDescent="0.2">
      <c r="A56" s="28"/>
      <c r="B56" s="28" t="s">
        <v>343</v>
      </c>
      <c r="C56" s="28"/>
    </row>
    <row r="57" spans="1:3" x14ac:dyDescent="0.2">
      <c r="A57" s="28"/>
      <c r="B57" s="28" t="s">
        <v>171</v>
      </c>
      <c r="C57" s="28"/>
    </row>
    <row r="58" spans="1:3" x14ac:dyDescent="0.2">
      <c r="A58" s="28"/>
      <c r="B58" s="28"/>
      <c r="C58" s="28"/>
    </row>
    <row r="59" spans="1:3" s="24" customFormat="1" x14ac:dyDescent="0.2">
      <c r="A59" s="52" t="s">
        <v>172</v>
      </c>
      <c r="B59" s="52"/>
      <c r="C59" s="52"/>
    </row>
    <row r="60" spans="1:3" x14ac:dyDescent="0.2">
      <c r="A60" s="25" t="s">
        <v>280</v>
      </c>
      <c r="B60" s="28"/>
      <c r="C60" s="28"/>
    </row>
    <row r="61" spans="1:3" x14ac:dyDescent="0.2">
      <c r="A61" s="25" t="s">
        <v>177</v>
      </c>
      <c r="B61" s="28"/>
      <c r="C61" s="28"/>
    </row>
    <row r="62" spans="1:3" x14ac:dyDescent="0.2">
      <c r="A62" s="25" t="s">
        <v>178</v>
      </c>
      <c r="B62" s="28"/>
      <c r="C62" s="28"/>
    </row>
    <row r="63" spans="1:3" x14ac:dyDescent="0.2">
      <c r="A63" s="25" t="s">
        <v>179</v>
      </c>
      <c r="B63" s="28"/>
      <c r="C63" s="28"/>
    </row>
    <row r="64" spans="1:3" x14ac:dyDescent="0.2">
      <c r="A64" s="25" t="s">
        <v>180</v>
      </c>
      <c r="B64" s="28"/>
      <c r="C64" s="28"/>
    </row>
    <row r="65" spans="1:3" x14ac:dyDescent="0.2">
      <c r="A65" s="25" t="s">
        <v>181</v>
      </c>
      <c r="B65" s="28"/>
      <c r="C65" s="28"/>
    </row>
    <row r="66" spans="1:3" x14ac:dyDescent="0.2">
      <c r="B66" s="28"/>
      <c r="C66" s="28"/>
    </row>
    <row r="67" spans="1:3" x14ac:dyDescent="0.2">
      <c r="A67" s="25" t="s">
        <v>176</v>
      </c>
      <c r="B67" s="28"/>
      <c r="C67" s="28"/>
    </row>
    <row r="68" spans="1:3" x14ac:dyDescent="0.2">
      <c r="A68" s="25" t="s">
        <v>281</v>
      </c>
      <c r="B68" s="28"/>
      <c r="C68" s="28"/>
    </row>
    <row r="69" spans="1:3" x14ac:dyDescent="0.2">
      <c r="A69" s="25" t="s">
        <v>344</v>
      </c>
      <c r="B69" s="28"/>
      <c r="C69" s="28"/>
    </row>
    <row r="70" spans="1:3" x14ac:dyDescent="0.2">
      <c r="A70" s="25" t="s">
        <v>345</v>
      </c>
      <c r="B70" s="28"/>
      <c r="C70" s="28"/>
    </row>
    <row r="71" spans="1:3" x14ac:dyDescent="0.2">
      <c r="B71" s="28"/>
      <c r="C71" s="28"/>
    </row>
    <row r="72" spans="1:3" x14ac:dyDescent="0.2">
      <c r="A72" s="28" t="s">
        <v>198</v>
      </c>
      <c r="B72" s="28"/>
      <c r="C72" s="28"/>
    </row>
    <row r="73" spans="1:3" x14ac:dyDescent="0.2">
      <c r="A73" s="25" t="s">
        <v>199</v>
      </c>
      <c r="B73" s="28"/>
      <c r="C73" s="28"/>
    </row>
    <row r="74" spans="1:3" x14ac:dyDescent="0.2">
      <c r="A74" s="25" t="s">
        <v>346</v>
      </c>
      <c r="B74" s="28"/>
      <c r="C74" s="28"/>
    </row>
    <row r="75" spans="1:3" x14ac:dyDescent="0.2">
      <c r="B75" s="28"/>
      <c r="C75" s="28"/>
    </row>
    <row r="76" spans="1:3" x14ac:dyDescent="0.2">
      <c r="A76" s="28" t="s">
        <v>174</v>
      </c>
      <c r="B76" s="28"/>
      <c r="C76" s="28"/>
    </row>
    <row r="77" spans="1:3" x14ac:dyDescent="0.2">
      <c r="A77" s="25" t="s">
        <v>282</v>
      </c>
      <c r="B77" s="28"/>
      <c r="C77" s="28"/>
    </row>
    <row r="78" spans="1:3" x14ac:dyDescent="0.2">
      <c r="B78" s="28"/>
      <c r="C78" s="28"/>
    </row>
    <row r="79" spans="1:3" s="24" customFormat="1" x14ac:dyDescent="0.2">
      <c r="A79" s="52" t="s">
        <v>173</v>
      </c>
      <c r="B79" s="52"/>
      <c r="C79" s="52"/>
    </row>
    <row r="80" spans="1:3" x14ac:dyDescent="0.2">
      <c r="A80" s="28" t="s">
        <v>283</v>
      </c>
      <c r="B80" s="28"/>
      <c r="C80" s="28"/>
    </row>
    <row r="81" spans="1:16" x14ac:dyDescent="0.2">
      <c r="A81" s="28"/>
      <c r="B81" s="28"/>
      <c r="C81" s="28"/>
    </row>
    <row r="82" spans="1:16" s="120" customFormat="1" x14ac:dyDescent="0.2">
      <c r="A82" s="83" t="s">
        <v>102</v>
      </c>
      <c r="B82" s="83"/>
      <c r="C82" s="83"/>
      <c r="D82" s="83" t="s">
        <v>15</v>
      </c>
      <c r="E82" s="193"/>
      <c r="F82" s="193"/>
      <c r="G82" s="193"/>
      <c r="H82" s="193"/>
      <c r="I82" s="193"/>
      <c r="J82" s="193"/>
    </row>
    <row r="83" spans="1:16" x14ac:dyDescent="0.2">
      <c r="A83" s="187" t="s">
        <v>103</v>
      </c>
      <c r="B83" s="187"/>
      <c r="C83" s="187"/>
      <c r="D83" s="187" t="s">
        <v>347</v>
      </c>
      <c r="E83" s="187"/>
      <c r="F83" s="187"/>
      <c r="G83" s="187"/>
      <c r="H83" s="187"/>
      <c r="I83" s="187"/>
      <c r="J83" s="187"/>
    </row>
    <row r="84" spans="1:16" x14ac:dyDescent="0.2">
      <c r="A84" s="32"/>
      <c r="B84" s="32"/>
      <c r="C84" s="32"/>
      <c r="D84" s="32" t="s">
        <v>348</v>
      </c>
      <c r="E84" s="32"/>
      <c r="F84" s="32"/>
      <c r="G84" s="32"/>
      <c r="H84" s="32"/>
      <c r="I84" s="32"/>
      <c r="J84" s="32"/>
    </row>
    <row r="85" spans="1:16" x14ac:dyDescent="0.2">
      <c r="A85" s="187" t="s">
        <v>288</v>
      </c>
      <c r="B85" s="187"/>
      <c r="C85" s="187"/>
      <c r="D85" s="187" t="s">
        <v>289</v>
      </c>
      <c r="E85" s="187"/>
      <c r="F85" s="187"/>
      <c r="G85" s="187"/>
      <c r="H85" s="187"/>
      <c r="I85" s="187"/>
      <c r="J85" s="187"/>
    </row>
    <row r="86" spans="1:16" x14ac:dyDescent="0.2">
      <c r="A86" s="32"/>
      <c r="B86" s="32"/>
      <c r="C86" s="32"/>
      <c r="D86" s="32" t="s">
        <v>349</v>
      </c>
      <c r="E86" s="32"/>
      <c r="F86" s="32"/>
      <c r="G86" s="32"/>
      <c r="H86" s="32"/>
      <c r="I86" s="32"/>
      <c r="J86" s="32"/>
    </row>
    <row r="87" spans="1:16" x14ac:dyDescent="0.2">
      <c r="A87" s="32"/>
      <c r="B87" s="32"/>
      <c r="C87" s="32"/>
      <c r="D87" s="32" t="s">
        <v>350</v>
      </c>
      <c r="E87" s="32"/>
      <c r="F87" s="32"/>
      <c r="G87" s="32"/>
      <c r="H87" s="32"/>
      <c r="I87" s="32"/>
      <c r="J87" s="32"/>
    </row>
    <row r="88" spans="1:16" x14ac:dyDescent="0.2">
      <c r="A88" s="180" t="s">
        <v>8</v>
      </c>
      <c r="B88" s="180"/>
      <c r="C88" s="180"/>
      <c r="D88" s="180" t="s">
        <v>290</v>
      </c>
      <c r="E88" s="180"/>
      <c r="F88" s="180"/>
      <c r="G88" s="180"/>
      <c r="H88" s="180"/>
      <c r="I88" s="180"/>
      <c r="J88" s="180"/>
    </row>
    <row r="89" spans="1:16" x14ac:dyDescent="0.2">
      <c r="A89" s="180" t="s">
        <v>16</v>
      </c>
      <c r="B89" s="180"/>
      <c r="C89" s="180"/>
      <c r="D89" s="180" t="s">
        <v>16</v>
      </c>
      <c r="E89" s="180"/>
      <c r="F89" s="180"/>
      <c r="G89" s="180"/>
      <c r="H89" s="180"/>
      <c r="I89" s="180"/>
      <c r="J89" s="180"/>
    </row>
    <row r="90" spans="1:16" x14ac:dyDescent="0.2">
      <c r="A90" s="180" t="s">
        <v>200</v>
      </c>
      <c r="B90" s="180"/>
      <c r="C90" s="180"/>
      <c r="D90" s="180" t="s">
        <v>291</v>
      </c>
      <c r="E90" s="180"/>
      <c r="F90" s="180"/>
      <c r="G90" s="180"/>
      <c r="H90" s="180"/>
      <c r="I90" s="180"/>
      <c r="J90" s="180"/>
    </row>
    <row r="91" spans="1:16" x14ac:dyDescent="0.2">
      <c r="A91" s="180" t="s">
        <v>21</v>
      </c>
      <c r="B91" s="180"/>
      <c r="C91" s="180"/>
      <c r="D91" s="180" t="s">
        <v>292</v>
      </c>
      <c r="E91" s="180"/>
      <c r="F91" s="180"/>
      <c r="G91" s="180"/>
      <c r="H91" s="180"/>
      <c r="I91" s="180"/>
      <c r="J91" s="180"/>
    </row>
    <row r="92" spans="1:16" x14ac:dyDescent="0.2">
      <c r="A92" s="180" t="s">
        <v>247</v>
      </c>
      <c r="B92" s="180"/>
      <c r="C92" s="180"/>
      <c r="D92" s="180" t="s">
        <v>293</v>
      </c>
      <c r="E92" s="180"/>
      <c r="F92" s="180"/>
      <c r="G92" s="180"/>
      <c r="H92" s="180"/>
      <c r="I92" s="180"/>
      <c r="J92" s="180"/>
    </row>
    <row r="93" spans="1:16" x14ac:dyDescent="0.2">
      <c r="A93" s="191" t="s">
        <v>248</v>
      </c>
      <c r="B93" s="192"/>
      <c r="C93" s="192"/>
      <c r="D93" s="191" t="s">
        <v>249</v>
      </c>
      <c r="E93" s="192"/>
      <c r="F93" s="192"/>
      <c r="G93" s="192"/>
      <c r="H93" s="192"/>
      <c r="I93" s="192"/>
      <c r="J93" s="192"/>
      <c r="K93" s="69"/>
      <c r="L93" s="69"/>
      <c r="M93" s="69"/>
      <c r="N93" s="69"/>
      <c r="O93" s="69"/>
      <c r="P93" s="69"/>
    </row>
  </sheetData>
  <pageMargins left="0.5" right="0.5" top="0.75" bottom="0.75" header="0.5" footer="0.25"/>
  <pageSetup paperSize="1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showGridLines="0" tabSelected="1" topLeftCell="A7" zoomScale="90" zoomScaleNormal="90" workbookViewId="0">
      <selection activeCell="A58" sqref="A58"/>
    </sheetView>
  </sheetViews>
  <sheetFormatPr defaultColWidth="10.7109375" defaultRowHeight="12.75" x14ac:dyDescent="0.2"/>
  <cols>
    <col min="1" max="4" width="10.7109375" style="25"/>
    <col min="5" max="5" width="10.7109375" style="25" customWidth="1"/>
    <col min="6" max="16384" width="10.7109375" style="25"/>
  </cols>
  <sheetData>
    <row r="1" spans="1:27" x14ac:dyDescent="0.2">
      <c r="A1" s="52" t="str">
        <f>Assumptions!A1</f>
        <v>Alberta Electric System Operator</v>
      </c>
      <c r="B1" s="52"/>
      <c r="C1" s="52"/>
      <c r="D1" s="52"/>
    </row>
    <row r="2" spans="1:27" x14ac:dyDescent="0.2">
      <c r="A2" s="52" t="str">
        <f>Assumptions!A2</f>
        <v>Preliminary rates and bill projections</v>
      </c>
      <c r="B2" s="52"/>
      <c r="C2" s="52"/>
      <c r="D2" s="52"/>
    </row>
    <row r="3" spans="1:27" x14ac:dyDescent="0.2">
      <c r="A3" s="52" t="str">
        <f>Assumptions!A3</f>
        <v>For discussion purposes</v>
      </c>
      <c r="B3" s="52"/>
      <c r="C3" s="52"/>
      <c r="D3" s="52"/>
    </row>
    <row r="4" spans="1:27" x14ac:dyDescent="0.2">
      <c r="A4" s="52" t="str">
        <f>Assumptions!A4</f>
        <v>Version 1.0-Conceptual dated March 12, 2020</v>
      </c>
      <c r="B4" s="52"/>
      <c r="C4" s="52"/>
      <c r="D4" s="52"/>
    </row>
    <row r="5" spans="1:27" x14ac:dyDescent="0.2">
      <c r="A5" s="52" t="s">
        <v>329</v>
      </c>
      <c r="B5" s="52"/>
      <c r="C5" s="52"/>
      <c r="D5" s="52"/>
    </row>
    <row r="6" spans="1:27" s="5" customFormat="1" x14ac:dyDescent="0.2">
      <c r="C6" s="306"/>
      <c r="D6" s="5" t="s">
        <v>304</v>
      </c>
    </row>
    <row r="8" spans="1:27" s="24" customFormat="1" x14ac:dyDescent="0.2">
      <c r="A8" s="292" t="s">
        <v>195</v>
      </c>
      <c r="B8" s="292"/>
      <c r="C8" s="292"/>
      <c r="D8" s="292"/>
      <c r="E8" s="292"/>
      <c r="F8" s="292"/>
      <c r="G8" s="292"/>
      <c r="H8" s="292"/>
      <c r="I8" s="292"/>
    </row>
    <row r="9" spans="1:27" x14ac:dyDescent="0.2">
      <c r="A9" s="291" t="s">
        <v>69</v>
      </c>
      <c r="B9" s="289"/>
      <c r="C9" s="296">
        <v>30</v>
      </c>
      <c r="D9" s="297" t="s">
        <v>250</v>
      </c>
      <c r="E9" s="289"/>
      <c r="F9" s="301">
        <v>30</v>
      </c>
      <c r="G9" s="293" t="s">
        <v>70</v>
      </c>
      <c r="H9" s="293"/>
      <c r="I9" s="294">
        <v>0.8</v>
      </c>
    </row>
    <row r="10" spans="1:27" x14ac:dyDescent="0.2">
      <c r="A10" s="341" t="s">
        <v>251</v>
      </c>
      <c r="B10" s="342"/>
      <c r="C10" s="298" t="s">
        <v>252</v>
      </c>
      <c r="D10" s="298"/>
      <c r="E10" s="298"/>
      <c r="F10" s="299">
        <v>0.8</v>
      </c>
    </row>
    <row r="11" spans="1:27" x14ac:dyDescent="0.2">
      <c r="A11" s="343"/>
      <c r="B11" s="344"/>
      <c r="C11" s="180" t="s">
        <v>253</v>
      </c>
      <c r="D11" s="180"/>
      <c r="E11" s="180"/>
      <c r="F11" s="300">
        <v>0.85</v>
      </c>
    </row>
    <row r="12" spans="1:27" x14ac:dyDescent="0.2">
      <c r="A12" s="345"/>
      <c r="B12" s="346"/>
      <c r="C12" s="288" t="s">
        <v>254</v>
      </c>
      <c r="D12" s="289"/>
      <c r="E12" s="289"/>
      <c r="F12" s="295">
        <v>0.9</v>
      </c>
    </row>
    <row r="13" spans="1:27" s="28" customFormat="1" x14ac:dyDescent="0.2"/>
    <row r="14" spans="1:27" x14ac:dyDescent="0.2">
      <c r="A14" s="29" t="s">
        <v>194</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row>
    <row r="15" spans="1:27" s="28" customFormat="1" x14ac:dyDescent="0.2"/>
    <row r="16" spans="1:27" s="109" customFormat="1" x14ac:dyDescent="0.2">
      <c r="A16" s="110" t="s">
        <v>355</v>
      </c>
      <c r="B16" s="110"/>
      <c r="C16" s="110"/>
      <c r="D16" s="110"/>
      <c r="E16" s="111"/>
      <c r="F16" s="111"/>
      <c r="G16" s="111"/>
      <c r="H16" s="111">
        <f>Rates!E9</f>
        <v>2020</v>
      </c>
      <c r="I16" s="111">
        <f>Rates!F9</f>
        <v>2021</v>
      </c>
      <c r="J16" s="111">
        <f>Rates!G9</f>
        <v>2022</v>
      </c>
      <c r="K16" s="111">
        <f>Rates!H9</f>
        <v>2023</v>
      </c>
      <c r="L16" s="111">
        <f>Rates!I9</f>
        <v>2024</v>
      </c>
      <c r="M16" s="111">
        <f>Rates!J9</f>
        <v>2025</v>
      </c>
      <c r="N16" s="111">
        <f>Rates!K9</f>
        <v>2026</v>
      </c>
      <c r="O16" s="111">
        <f>Rates!L9</f>
        <v>2027</v>
      </c>
      <c r="P16" s="111">
        <f>Rates!M9</f>
        <v>2028</v>
      </c>
      <c r="Q16" s="111">
        <f>Rates!N9</f>
        <v>2029</v>
      </c>
      <c r="R16" s="111">
        <f>Rates!O9</f>
        <v>2030</v>
      </c>
      <c r="S16" s="111">
        <f>Rates!P9</f>
        <v>2031</v>
      </c>
      <c r="T16" s="111">
        <f>Rates!Q9</f>
        <v>2032</v>
      </c>
      <c r="U16" s="111">
        <f>Rates!R9</f>
        <v>2033</v>
      </c>
      <c r="V16" s="111">
        <f>Rates!S9</f>
        <v>2034</v>
      </c>
      <c r="W16" s="111">
        <f>Rates!T9</f>
        <v>2035</v>
      </c>
      <c r="X16" s="111">
        <f>Rates!U9</f>
        <v>2036</v>
      </c>
      <c r="Y16" s="111">
        <f>Rates!V9</f>
        <v>2037</v>
      </c>
      <c r="Z16" s="111">
        <f>Rates!W9</f>
        <v>2038</v>
      </c>
      <c r="AA16" s="111">
        <f>Rates!X9</f>
        <v>2039</v>
      </c>
    </row>
    <row r="17" spans="1:27" x14ac:dyDescent="0.2">
      <c r="A17" s="33" t="s">
        <v>261</v>
      </c>
      <c r="B17" s="33"/>
      <c r="C17" s="33"/>
      <c r="D17" s="33"/>
      <c r="E17" s="189"/>
      <c r="F17" s="189"/>
      <c r="G17" s="189"/>
      <c r="H17" s="189">
        <f>($C$9*$F$10*Rates!E99)+($C$9*$I$9*730*Rates!E100)</f>
        <v>279333.59999999998</v>
      </c>
      <c r="I17" s="189">
        <f>($C$9*$F$10*Rates!F99)+($C$9*$I$9*730*Rates!F100)</f>
        <v>269272.8</v>
      </c>
      <c r="J17" s="189">
        <f>($C$9*$F$10*Rates!G99)+($C$9*$I$9*730*Rates!G100)</f>
        <v>274687.2</v>
      </c>
      <c r="K17" s="189">
        <f>($C$9*$F$10*Rates!H99)+($C$9*$I$9*730*Rates!H100)</f>
        <v>279717.59999999998</v>
      </c>
      <c r="L17" s="189">
        <f>($C$9*$F$10*Rates!I99)+($C$9*$I$9*730*Rates!I100)</f>
        <v>297216</v>
      </c>
      <c r="M17" s="189">
        <f>($C$9*$F$10*Rates!J99)+($C$9*$I$9*730*Rates!J100)</f>
        <v>309036</v>
      </c>
      <c r="N17" s="189">
        <f>($C$9*$F$10*Rates!K99)+($C$9*$I$9*730*Rates!K100)</f>
        <v>310051.20000000001</v>
      </c>
      <c r="O17" s="189">
        <f>($C$9*$F$10*Rates!L99)+($C$9*$I$9*730*Rates!L100)</f>
        <v>312602.40000000002</v>
      </c>
      <c r="P17" s="189">
        <f>($C$9*$F$10*Rates!M99)+($C$9*$I$9*730*Rates!M100)</f>
        <v>313034.40000000002</v>
      </c>
      <c r="Q17" s="189">
        <f>($C$9*$F$10*Rates!N99)+($C$9*$I$9*730*Rates!N100)</f>
        <v>315009.59999999998</v>
      </c>
      <c r="R17" s="189">
        <f>($C$9*$F$10*Rates!O99)+($C$9*$I$9*730*Rates!O100)</f>
        <v>316737.59999999998</v>
      </c>
      <c r="S17" s="189">
        <f>($C$9*$F$10*Rates!P99)+($C$9*$I$9*730*Rates!P100)</f>
        <v>314570.40000000002</v>
      </c>
      <c r="T17" s="189">
        <f>($C$9*$F$10*Rates!Q99)+($C$9*$I$9*730*Rates!Q100)</f>
        <v>311971.20000000001</v>
      </c>
      <c r="U17" s="189">
        <f>($C$9*$F$10*Rates!R99)+($C$9*$I$9*730*Rates!R100)</f>
        <v>310963.20000000001</v>
      </c>
      <c r="V17" s="189">
        <f>($C$9*$F$10*Rates!S99)+($C$9*$I$9*730*Rates!S100)</f>
        <v>308316</v>
      </c>
      <c r="W17" s="189">
        <f>($C$9*$F$10*Rates!T99)+($C$9*$I$9*730*Rates!T100)</f>
        <v>307716</v>
      </c>
      <c r="X17" s="189">
        <f>($C$9*$F$10*Rates!U99)+($C$9*$I$9*730*Rates!U100)</f>
        <v>305908.8</v>
      </c>
      <c r="Y17" s="189">
        <f>($C$9*$F$10*Rates!V99)+($C$9*$I$9*730*Rates!V100)</f>
        <v>306220.79999999999</v>
      </c>
      <c r="Z17" s="189">
        <f>($C$9*$F$10*Rates!W99)+($C$9*$I$9*730*Rates!W100)</f>
        <v>304557.59999999998</v>
      </c>
      <c r="AA17" s="189">
        <f>($C$9*$F$10*Rates!X99)+($C$9*$I$9*730*Rates!X100)</f>
        <v>304053.59999999998</v>
      </c>
    </row>
    <row r="18" spans="1:27" x14ac:dyDescent="0.2">
      <c r="A18" s="305" t="s">
        <v>260</v>
      </c>
      <c r="B18" s="290"/>
      <c r="C18" s="290"/>
      <c r="D18" s="290"/>
      <c r="E18" s="304"/>
      <c r="F18" s="304"/>
      <c r="G18" s="304"/>
      <c r="H18" s="304">
        <f>(MAX($C$9,90%*$F$9)*Rates!E102)+($C$9*$I$9*730*Rates!E103)</f>
        <v>99037.2</v>
      </c>
      <c r="I18" s="304">
        <f>(MAX($C$9,90%*$F$9)*Rates!F102)+($C$9*$I$9*730*Rates!F103)</f>
        <v>95511.6</v>
      </c>
      <c r="J18" s="304">
        <f>(MAX($C$9,90%*$F$9)*Rates!G102)+($C$9*$I$9*730*Rates!G103)</f>
        <v>97306.8</v>
      </c>
      <c r="K18" s="304">
        <f>(MAX($C$9,90%*$F$9)*Rates!H102)+($C$9*$I$9*730*Rates!H103)</f>
        <v>99187.199999999997</v>
      </c>
      <c r="L18" s="304">
        <f>(MAX($C$9,90%*$F$9)*Rates!I102)+($C$9*$I$9*730*Rates!I103)</f>
        <v>105313.2</v>
      </c>
      <c r="M18" s="304">
        <f>(MAX($C$9,90%*$F$9)*Rates!J102)+($C$9*$I$9*730*Rates!J103)</f>
        <v>109554</v>
      </c>
      <c r="N18" s="304">
        <f>(MAX($C$9,90%*$F$9)*Rates!K102)+($C$9*$I$9*730*Rates!K103)</f>
        <v>109824</v>
      </c>
      <c r="O18" s="304">
        <f>(MAX($C$9,90%*$F$9)*Rates!L102)+($C$9*$I$9*730*Rates!L103)</f>
        <v>110779.2</v>
      </c>
      <c r="P18" s="304">
        <f>(MAX($C$9,90%*$F$9)*Rates!M102)+($C$9*$I$9*730*Rates!M103)</f>
        <v>110929.2</v>
      </c>
      <c r="Q18" s="304">
        <f>(MAX($C$9,90%*$F$9)*Rates!N102)+($C$9*$I$9*730*Rates!N103)</f>
        <v>111674.4</v>
      </c>
      <c r="R18" s="304">
        <f>(MAX($C$9,90%*$F$9)*Rates!O102)+($C$9*$I$9*730*Rates!O103)</f>
        <v>112244.4</v>
      </c>
      <c r="S18" s="304">
        <f>(MAX($C$9,90%*$F$9)*Rates!P102)+($C$9*$I$9*730*Rates!P103)</f>
        <v>111584.4</v>
      </c>
      <c r="T18" s="304">
        <f>(MAX($C$9,90%*$F$9)*Rates!Q102)+($C$9*$I$9*730*Rates!Q103)</f>
        <v>110629.2</v>
      </c>
      <c r="U18" s="304">
        <f>(MAX($C$9,90%*$F$9)*Rates!R102)+($C$9*$I$9*730*Rates!R103)</f>
        <v>110299.2</v>
      </c>
      <c r="V18" s="304">
        <f>(MAX($C$9,90%*$F$9)*Rates!S102)+($C$9*$I$9*730*Rates!S103)</f>
        <v>109314</v>
      </c>
      <c r="W18" s="304">
        <f>(MAX($C$9,90%*$F$9)*Rates!T102)+($C$9*$I$9*730*Rates!T103)</f>
        <v>109134</v>
      </c>
      <c r="X18" s="304">
        <f>(MAX($C$9,90%*$F$9)*Rates!U102)+($C$9*$I$9*730*Rates!U103)</f>
        <v>108448.8</v>
      </c>
      <c r="Y18" s="304">
        <f>(MAX($C$9,90%*$F$9)*Rates!V102)+($C$9*$I$9*730*Rates!V103)</f>
        <v>108538.8</v>
      </c>
      <c r="Z18" s="304">
        <f>(MAX($C$9,90%*$F$9)*Rates!W102)+($C$9*$I$9*730*Rates!W103)</f>
        <v>108058.8</v>
      </c>
      <c r="AA18" s="304">
        <f>(MAX($C$9,90%*$F$9)*Rates!X102)+($C$9*$I$9*730*Rates!X103)</f>
        <v>107703.6</v>
      </c>
    </row>
    <row r="19" spans="1:27" s="24" customFormat="1" x14ac:dyDescent="0.2">
      <c r="A19" s="26" t="s">
        <v>263</v>
      </c>
      <c r="B19" s="30"/>
      <c r="C19" s="30"/>
      <c r="D19" s="30"/>
      <c r="E19" s="327"/>
      <c r="F19" s="327"/>
      <c r="G19" s="327"/>
      <c r="H19" s="327">
        <f>H18+H17</f>
        <v>378370.8</v>
      </c>
      <c r="I19" s="327">
        <f t="shared" ref="I19:AA19" si="0">I18+I17</f>
        <v>364784.4</v>
      </c>
      <c r="J19" s="327">
        <f t="shared" si="0"/>
        <v>371994</v>
      </c>
      <c r="K19" s="327">
        <f t="shared" si="0"/>
        <v>378904.8</v>
      </c>
      <c r="L19" s="327">
        <f t="shared" si="0"/>
        <v>402529.2</v>
      </c>
      <c r="M19" s="327">
        <f t="shared" si="0"/>
        <v>418590</v>
      </c>
      <c r="N19" s="327">
        <f t="shared" si="0"/>
        <v>419875.2</v>
      </c>
      <c r="O19" s="327">
        <f t="shared" si="0"/>
        <v>423381.60000000003</v>
      </c>
      <c r="P19" s="327">
        <f t="shared" si="0"/>
        <v>423963.60000000003</v>
      </c>
      <c r="Q19" s="327">
        <f t="shared" si="0"/>
        <v>426684</v>
      </c>
      <c r="R19" s="327">
        <f t="shared" si="0"/>
        <v>428982</v>
      </c>
      <c r="S19" s="327">
        <f t="shared" si="0"/>
        <v>426154.80000000005</v>
      </c>
      <c r="T19" s="327">
        <f t="shared" si="0"/>
        <v>422600.4</v>
      </c>
      <c r="U19" s="327">
        <f t="shared" si="0"/>
        <v>421262.4</v>
      </c>
      <c r="V19" s="327">
        <f t="shared" si="0"/>
        <v>417630</v>
      </c>
      <c r="W19" s="327">
        <f t="shared" si="0"/>
        <v>416850</v>
      </c>
      <c r="X19" s="327">
        <f t="shared" si="0"/>
        <v>414357.6</v>
      </c>
      <c r="Y19" s="327">
        <f t="shared" si="0"/>
        <v>414759.6</v>
      </c>
      <c r="Z19" s="327">
        <f t="shared" si="0"/>
        <v>412616.39999999997</v>
      </c>
      <c r="AA19" s="327">
        <f t="shared" si="0"/>
        <v>411757.19999999995</v>
      </c>
    </row>
    <row r="20" spans="1:27" x14ac:dyDescent="0.2">
      <c r="A20" s="60" t="s">
        <v>255</v>
      </c>
      <c r="B20" s="32"/>
      <c r="C20" s="32"/>
      <c r="D20" s="32"/>
      <c r="E20" s="303"/>
      <c r="F20" s="303"/>
      <c r="G20" s="303"/>
      <c r="H20" s="303">
        <f>Rates!E105+(MIN(7.5,MAX($C$9,90%*$F$9))*Rates!E106)+(MAX(MIN(17,MAX($C$9,90%*$F$9))-7.5,0)*Rates!E107)+(MAX(MIN(40,MAX($C$9,90%*$F$9))-17,0)*Rates!E108)+(MAX(MAX($C$9,90%*$F$9)-40,0)*Rates!E109)</f>
        <v>100330</v>
      </c>
      <c r="I20" s="303">
        <f>Rates!F105+(MIN(7.5,MAX($C$9,90%*$F$9))*Rates!F106)+(MAX(MIN(17,MAX($C$9,90%*$F$9))-7.5,0)*Rates!F107)+(MAX(MIN(40,MAX($C$9,90%*$F$9))-17,0)*Rates!F108)+(MAX(MAX($C$9,90%*$F$9)-40,0)*Rates!F109)</f>
        <v>96727.5</v>
      </c>
      <c r="J20" s="303">
        <f>Rates!G105+(MIN(7.5,MAX($C$9,90%*$F$9))*Rates!G106)+(MAX(MIN(17,MAX($C$9,90%*$F$9))-7.5,0)*Rates!G107)+(MAX(MIN(40,MAX($C$9,90%*$F$9))-17,0)*Rates!G108)+(MAX(MAX($C$9,90%*$F$9)-40,0)*Rates!G109)</f>
        <v>98690.5</v>
      </c>
      <c r="K20" s="303">
        <f>Rates!H105+(MIN(7.5,MAX($C$9,90%*$F$9))*Rates!H106)+(MAX(MIN(17,MAX($C$9,90%*$F$9))-7.5,0)*Rates!H107)+(MAX(MIN(40,MAX($C$9,90%*$F$9))-17,0)*Rates!H108)+(MAX(MAX($C$9,90%*$F$9)-40,0)*Rates!H109)</f>
        <v>100491</v>
      </c>
      <c r="L20" s="303">
        <f>Rates!I105+(MIN(7.5,MAX($C$9,90%*$F$9))*Rates!I106)+(MAX(MIN(17,MAX($C$9,90%*$F$9))-7.5,0)*Rates!I107)+(MAX(MIN(40,MAX($C$9,90%*$F$9))-17,0)*Rates!I108)+(MAX(MAX($C$9,90%*$F$9)-40,0)*Rates!I109)</f>
        <v>106791.5</v>
      </c>
      <c r="M20" s="303">
        <f>Rates!J105+(MIN(7.5,MAX($C$9,90%*$F$9))*Rates!J106)+(MAX(MIN(17,MAX($C$9,90%*$F$9))-7.5,0)*Rates!J107)+(MAX(MIN(40,MAX($C$9,90%*$F$9))-17,0)*Rates!J108)+(MAX(MAX($C$9,90%*$F$9)-40,0)*Rates!J109)</f>
        <v>111016</v>
      </c>
      <c r="N20" s="303">
        <f>Rates!K105+(MIN(7.5,MAX($C$9,90%*$F$9))*Rates!K106)+(MAX(MIN(17,MAX($C$9,90%*$F$9))-7.5,0)*Rates!K107)+(MAX(MIN(40,MAX($C$9,90%*$F$9))-17,0)*Rates!K108)+(MAX(MAX($C$9,90%*$F$9)-40,0)*Rates!K109)</f>
        <v>111339</v>
      </c>
      <c r="O20" s="303">
        <f>Rates!L105+(MIN(7.5,MAX($C$9,90%*$F$9))*Rates!L106)+(MAX(MIN(17,MAX($C$9,90%*$F$9))-7.5,0)*Rates!L107)+(MAX(MIN(40,MAX($C$9,90%*$F$9))-17,0)*Rates!L108)+(MAX(MAX($C$9,90%*$F$9)-40,0)*Rates!L109)</f>
        <v>112260.5</v>
      </c>
      <c r="P20" s="303">
        <f>Rates!M105+(MIN(7.5,MAX($C$9,90%*$F$9))*Rates!M106)+(MAX(MIN(17,MAX($C$9,90%*$F$9))-7.5,0)*Rates!M107)+(MAX(MIN(40,MAX($C$9,90%*$F$9))-17,0)*Rates!M108)+(MAX(MAX($C$9,90%*$F$9)-40,0)*Rates!M109)</f>
        <v>112420.5</v>
      </c>
      <c r="Q20" s="303">
        <f>Rates!N105+(MIN(7.5,MAX($C$9,90%*$F$9))*Rates!N106)+(MAX(MIN(17,MAX($C$9,90%*$F$9))-7.5,0)*Rates!N107)+(MAX(MIN(40,MAX($C$9,90%*$F$9))-17,0)*Rates!N108)+(MAX(MAX($C$9,90%*$F$9)-40,0)*Rates!N109)</f>
        <v>113127</v>
      </c>
      <c r="R20" s="303">
        <f>Rates!O105+(MIN(7.5,MAX($C$9,90%*$F$9))*Rates!O106)+(MAX(MIN(17,MAX($C$9,90%*$F$9))-7.5,0)*Rates!O107)+(MAX(MIN(40,MAX($C$9,90%*$F$9))-17,0)*Rates!O108)+(MAX(MAX($C$9,90%*$F$9)-40,0)*Rates!O109)</f>
        <v>113794.5</v>
      </c>
      <c r="S20" s="303">
        <f>Rates!P105+(MIN(7.5,MAX($C$9,90%*$F$9))*Rates!P106)+(MAX(MIN(17,MAX($C$9,90%*$F$9))-7.5,0)*Rates!P107)+(MAX(MIN(40,MAX($C$9,90%*$F$9))-17,0)*Rates!P108)+(MAX(MAX($C$9,90%*$F$9)-40,0)*Rates!P109)</f>
        <v>113021</v>
      </c>
      <c r="T20" s="303">
        <f>Rates!Q105+(MIN(7.5,MAX($C$9,90%*$F$9))*Rates!Q106)+(MAX(MIN(17,MAX($C$9,90%*$F$9))-7.5,0)*Rates!Q107)+(MAX(MIN(40,MAX($C$9,90%*$F$9))-17,0)*Rates!Q108)+(MAX(MAX($C$9,90%*$F$9)-40,0)*Rates!Q109)</f>
        <v>112088</v>
      </c>
      <c r="U20" s="303">
        <f>Rates!R105+(MIN(7.5,MAX($C$9,90%*$F$9))*Rates!R106)+(MAX(MIN(17,MAX($C$9,90%*$F$9))-7.5,0)*Rates!R107)+(MAX(MIN(40,MAX($C$9,90%*$F$9))-17,0)*Rates!R108)+(MAX(MAX($C$9,90%*$F$9)-40,0)*Rates!R109)</f>
        <v>111702.5</v>
      </c>
      <c r="V20" s="303">
        <f>Rates!S105+(MIN(7.5,MAX($C$9,90%*$F$9))*Rates!S106)+(MAX(MIN(17,MAX($C$9,90%*$F$9))-7.5,0)*Rates!S107)+(MAX(MIN(40,MAX($C$9,90%*$F$9))-17,0)*Rates!S108)+(MAX(MAX($C$9,90%*$F$9)-40,0)*Rates!S109)</f>
        <v>110738.5</v>
      </c>
      <c r="W20" s="303">
        <f>Rates!T105+(MIN(7.5,MAX($C$9,90%*$F$9))*Rates!T106)+(MAX(MIN(17,MAX($C$9,90%*$F$9))-7.5,0)*Rates!T107)+(MAX(MIN(40,MAX($C$9,90%*$F$9))-17,0)*Rates!T108)+(MAX(MAX($C$9,90%*$F$9)-40,0)*Rates!T109)</f>
        <v>110514</v>
      </c>
      <c r="X20" s="303">
        <f>Rates!U105+(MIN(7.5,MAX($C$9,90%*$F$9))*Rates!U106)+(MAX(MIN(17,MAX($C$9,90%*$F$9))-7.5,0)*Rates!U107)+(MAX(MIN(40,MAX($C$9,90%*$F$9))-17,0)*Rates!U108)+(MAX(MAX($C$9,90%*$F$9)-40,0)*Rates!U109)</f>
        <v>109890</v>
      </c>
      <c r="Y20" s="303">
        <f>Rates!V105+(MIN(7.5,MAX($C$9,90%*$F$9))*Rates!V106)+(MAX(MIN(17,MAX($C$9,90%*$F$9))-7.5,0)*Rates!V107)+(MAX(MIN(40,MAX($C$9,90%*$F$9))-17,0)*Rates!V108)+(MAX(MAX($C$9,90%*$F$9)-40,0)*Rates!V109)</f>
        <v>109998</v>
      </c>
      <c r="Z20" s="303">
        <f>Rates!W105+(MIN(7.5,MAX($C$9,90%*$F$9))*Rates!W106)+(MAX(MIN(17,MAX($C$9,90%*$F$9))-7.5,0)*Rates!W107)+(MAX(MIN(40,MAX($C$9,90%*$F$9))-17,0)*Rates!W108)+(MAX(MAX($C$9,90%*$F$9)-40,0)*Rates!W109)</f>
        <v>109419.5</v>
      </c>
      <c r="AA20" s="303">
        <f>Rates!X105+(MIN(7.5,MAX($C$9,90%*$F$9))*Rates!X106)+(MAX(MIN(17,MAX($C$9,90%*$F$9))-7.5,0)*Rates!X107)+(MAX(MIN(40,MAX($C$9,90%*$F$9))-17,0)*Rates!X108)+(MAX(MAX($C$9,90%*$F$9)-40,0)*Rates!X109)</f>
        <v>109228</v>
      </c>
    </row>
    <row r="21" spans="1:27" x14ac:dyDescent="0.2">
      <c r="A21" s="61" t="s">
        <v>256</v>
      </c>
      <c r="B21" s="33"/>
      <c r="C21" s="33"/>
      <c r="D21" s="33"/>
      <c r="E21" s="189"/>
      <c r="F21" s="189"/>
      <c r="G21" s="189"/>
      <c r="H21" s="189">
        <f>$C$9*$I$9*730*Rates!E110*Assumptions!E42</f>
        <v>72195.101999999999</v>
      </c>
      <c r="I21" s="189">
        <f>$C$9*$I$9*730*Rates!F110*Assumptions!F42</f>
        <v>80606.684125760643</v>
      </c>
      <c r="J21" s="189">
        <f>$C$9*$I$9*730*Rates!G110*Assumptions!G42</f>
        <v>83739.07299600025</v>
      </c>
      <c r="K21" s="189">
        <f>$C$9*$I$9*730*Rates!H110*Assumptions!H42</f>
        <v>91325.230734719735</v>
      </c>
      <c r="L21" s="189">
        <f>$C$9*$I$9*730*Rates!I110*Assumptions!I42</f>
        <v>96451.653787333446</v>
      </c>
      <c r="M21" s="189">
        <f>$C$9*$I$9*730*Rates!J110*Assumptions!J42</f>
        <v>98159.655422400319</v>
      </c>
      <c r="N21" s="189">
        <f>$C$9*$I$9*730*Rates!K110*Assumptions!K42</f>
        <v>104301.9835440001</v>
      </c>
      <c r="O21" s="189">
        <f>$C$9*$I$9*730*Rates!L110*Assumptions!L42</f>
        <v>110120.58569563997</v>
      </c>
      <c r="P21" s="189">
        <f>$C$9*$I$9*730*Rates!M110*Assumptions!M42</f>
        <v>112533.27053018019</v>
      </c>
      <c r="Q21" s="189">
        <f>$C$9*$I$9*730*Rates!N110*Assumptions!N42</f>
        <v>116558.36231936034</v>
      </c>
      <c r="R21" s="189">
        <f>$C$9*$I$9*730*Rates!O110*Assumptions!O42</f>
        <v>120286.30108583978</v>
      </c>
      <c r="S21" s="189">
        <f>$C$9*$I$9*730*Rates!P110*Assumptions!P42</f>
        <v>125931.57307455997</v>
      </c>
      <c r="T21" s="189">
        <f>$C$9*$I$9*730*Rates!Q110*Assumptions!Q42</f>
        <v>128853.4330668273</v>
      </c>
      <c r="U21" s="189">
        <f>$C$9*$I$9*730*Rates!R110*Assumptions!R42</f>
        <v>132180.17546279985</v>
      </c>
      <c r="V21" s="189">
        <f>$C$9*$I$9*730*Rates!S110*Assumptions!S42</f>
        <v>135097.62278879987</v>
      </c>
      <c r="W21" s="189">
        <f>$C$9*$I$9*730*Rates!T110*Assumptions!T42</f>
        <v>137990.91054625253</v>
      </c>
      <c r="X21" s="189">
        <f>$C$9*$I$9*730*Rates!U110*Assumptions!U42</f>
        <v>140946.05920081085</v>
      </c>
      <c r="Y21" s="189">
        <f>$C$9*$I$9*730*Rates!V110*Assumptions!V42</f>
        <v>144134.97583761258</v>
      </c>
      <c r="Z21" s="189">
        <f>$C$9*$I$9*730*Rates!W110*Assumptions!W42</f>
        <v>147221.11734728207</v>
      </c>
      <c r="AA21" s="189">
        <f>$C$9*$I$9*730*Rates!X110*Assumptions!X42</f>
        <v>150372.94989522116</v>
      </c>
    </row>
    <row r="22" spans="1:27" x14ac:dyDescent="0.2">
      <c r="A22" s="61" t="s">
        <v>257</v>
      </c>
      <c r="B22" s="180"/>
      <c r="C22" s="180"/>
      <c r="D22" s="180"/>
      <c r="E22" s="226"/>
      <c r="F22" s="226"/>
      <c r="G22" s="226"/>
      <c r="H22" s="189">
        <f>$C$9*$I$9*730*Rates!E111</f>
        <v>35.04</v>
      </c>
      <c r="I22" s="189">
        <f>$C$9*$I$9*730*Rates!F111</f>
        <v>35.04</v>
      </c>
      <c r="J22" s="189">
        <f>$C$9*$I$9*730*Rates!G111</f>
        <v>35.04</v>
      </c>
      <c r="K22" s="189">
        <f>$C$9*$I$9*730*Rates!H111</f>
        <v>35.04</v>
      </c>
      <c r="L22" s="189">
        <f>$C$9*$I$9*730*Rates!I111</f>
        <v>35.04</v>
      </c>
      <c r="M22" s="189">
        <f>$C$9*$I$9*730*Rates!J111</f>
        <v>35.04</v>
      </c>
      <c r="N22" s="189">
        <f>$C$9*$I$9*730*Rates!K111</f>
        <v>35.04</v>
      </c>
      <c r="O22" s="189">
        <f>$C$9*$I$9*730*Rates!L111</f>
        <v>35.04</v>
      </c>
      <c r="P22" s="189">
        <f>$C$9*$I$9*730*Rates!M111</f>
        <v>35.04</v>
      </c>
      <c r="Q22" s="189">
        <f>$C$9*$I$9*730*Rates!N111</f>
        <v>35.04</v>
      </c>
      <c r="R22" s="189">
        <f>$C$9*$I$9*730*Rates!O111</f>
        <v>35.04</v>
      </c>
      <c r="S22" s="189">
        <f>$C$9*$I$9*730*Rates!P111</f>
        <v>35.04</v>
      </c>
      <c r="T22" s="189">
        <f>$C$9*$I$9*730*Rates!Q111</f>
        <v>35.04</v>
      </c>
      <c r="U22" s="189">
        <f>$C$9*$I$9*730*Rates!R111</f>
        <v>35.04</v>
      </c>
      <c r="V22" s="189">
        <f>$C$9*$I$9*730*Rates!S111</f>
        <v>35.04</v>
      </c>
      <c r="W22" s="189">
        <f>$C$9*$I$9*730*Rates!T111</f>
        <v>35.04</v>
      </c>
      <c r="X22" s="189">
        <f>$C$9*$I$9*730*Rates!U111</f>
        <v>35.04</v>
      </c>
      <c r="Y22" s="189">
        <f>$C$9*$I$9*730*Rates!V111</f>
        <v>35.04</v>
      </c>
      <c r="Z22" s="189">
        <f>$C$9*$I$9*730*Rates!W111</f>
        <v>35.04</v>
      </c>
      <c r="AA22" s="189">
        <f>$C$9*$I$9*730*Rates!X111</f>
        <v>35.04</v>
      </c>
    </row>
    <row r="23" spans="1:27" x14ac:dyDescent="0.2">
      <c r="A23" s="61" t="s">
        <v>258</v>
      </c>
      <c r="B23" s="33"/>
      <c r="C23" s="33"/>
      <c r="D23" s="33"/>
      <c r="E23" s="189"/>
      <c r="F23" s="189"/>
      <c r="G23" s="189"/>
      <c r="H23" s="189">
        <f>$C$9*$I$9*730*Rates!E112</f>
        <v>876</v>
      </c>
      <c r="I23" s="189">
        <f>$C$9*$I$9*730*Rates!F112</f>
        <v>700.80000000000007</v>
      </c>
      <c r="J23" s="189">
        <f>$C$9*$I$9*730*Rates!G112</f>
        <v>876</v>
      </c>
      <c r="K23" s="189">
        <f>$C$9*$I$9*730*Rates!H112</f>
        <v>876</v>
      </c>
      <c r="L23" s="189">
        <f>$C$9*$I$9*730*Rates!I112</f>
        <v>876</v>
      </c>
      <c r="M23" s="189">
        <f>$C$9*$I$9*730*Rates!J112</f>
        <v>876</v>
      </c>
      <c r="N23" s="189">
        <f>$C$9*$I$9*730*Rates!K112</f>
        <v>876</v>
      </c>
      <c r="O23" s="189">
        <f>$C$9*$I$9*730*Rates!L112</f>
        <v>876</v>
      </c>
      <c r="P23" s="189">
        <f>$C$9*$I$9*730*Rates!M112</f>
        <v>876</v>
      </c>
      <c r="Q23" s="189">
        <f>$C$9*$I$9*730*Rates!N112</f>
        <v>876</v>
      </c>
      <c r="R23" s="189">
        <f>$C$9*$I$9*730*Rates!O112</f>
        <v>876</v>
      </c>
      <c r="S23" s="189">
        <f>$C$9*$I$9*730*Rates!P112</f>
        <v>876</v>
      </c>
      <c r="T23" s="189">
        <f>$C$9*$I$9*730*Rates!Q112</f>
        <v>876</v>
      </c>
      <c r="U23" s="189">
        <f>$C$9*$I$9*730*Rates!R112</f>
        <v>876</v>
      </c>
      <c r="V23" s="189">
        <f>$C$9*$I$9*730*Rates!S112</f>
        <v>876</v>
      </c>
      <c r="W23" s="189">
        <f>$C$9*$I$9*730*Rates!T112</f>
        <v>876</v>
      </c>
      <c r="X23" s="189">
        <f>$C$9*$I$9*730*Rates!U112</f>
        <v>1051.2</v>
      </c>
      <c r="Y23" s="189">
        <f>$C$9*$I$9*730*Rates!V112</f>
        <v>1051.2</v>
      </c>
      <c r="Z23" s="189">
        <f>$C$9*$I$9*730*Rates!W112</f>
        <v>1051.2</v>
      </c>
      <c r="AA23" s="189">
        <f>$C$9*$I$9*730*Rates!X112</f>
        <v>1051.2</v>
      </c>
    </row>
    <row r="24" spans="1:27" x14ac:dyDescent="0.2">
      <c r="A24" s="61" t="s">
        <v>259</v>
      </c>
      <c r="B24" s="33"/>
      <c r="C24" s="33"/>
      <c r="D24" s="33"/>
      <c r="E24" s="189"/>
      <c r="F24" s="189"/>
      <c r="G24" s="189"/>
      <c r="H24" s="189">
        <f>$C$9*Rates!E113</f>
        <v>720</v>
      </c>
      <c r="I24" s="189">
        <f>$C$9*Rates!F113</f>
        <v>690</v>
      </c>
      <c r="J24" s="189">
        <f>$C$9*Rates!G113</f>
        <v>690</v>
      </c>
      <c r="K24" s="189">
        <f>$C$9*Rates!H113</f>
        <v>720</v>
      </c>
      <c r="L24" s="189">
        <f>$C$9*Rates!I113</f>
        <v>720</v>
      </c>
      <c r="M24" s="189">
        <f>$C$9*Rates!J113</f>
        <v>750</v>
      </c>
      <c r="N24" s="189">
        <f>$C$9*Rates!K113</f>
        <v>750</v>
      </c>
      <c r="O24" s="189">
        <f>$C$9*Rates!L113</f>
        <v>780</v>
      </c>
      <c r="P24" s="189">
        <f>$C$9*Rates!M113</f>
        <v>780</v>
      </c>
      <c r="Q24" s="189">
        <f>$C$9*Rates!N113</f>
        <v>780</v>
      </c>
      <c r="R24" s="189">
        <f>$C$9*Rates!O113</f>
        <v>810</v>
      </c>
      <c r="S24" s="189">
        <f>$C$9*Rates!P113</f>
        <v>810</v>
      </c>
      <c r="T24" s="189">
        <f>$C$9*Rates!Q113</f>
        <v>810</v>
      </c>
      <c r="U24" s="189">
        <f>$C$9*Rates!R113</f>
        <v>810</v>
      </c>
      <c r="V24" s="189">
        <f>$C$9*Rates!S113</f>
        <v>840</v>
      </c>
      <c r="W24" s="189">
        <f>$C$9*Rates!T113</f>
        <v>840</v>
      </c>
      <c r="X24" s="189">
        <f>$C$9*Rates!U113</f>
        <v>840</v>
      </c>
      <c r="Y24" s="189">
        <f>$C$9*Rates!V113</f>
        <v>870</v>
      </c>
      <c r="Z24" s="189">
        <f>$C$9*Rates!W113</f>
        <v>870</v>
      </c>
      <c r="AA24" s="189">
        <f>$C$9*Rates!X113</f>
        <v>900</v>
      </c>
    </row>
    <row r="25" spans="1:27" x14ac:dyDescent="0.2">
      <c r="A25" s="60" t="s">
        <v>262</v>
      </c>
      <c r="B25" s="32"/>
      <c r="C25" s="32"/>
      <c r="D25" s="32"/>
      <c r="E25" s="303"/>
      <c r="F25" s="303"/>
      <c r="G25" s="303"/>
      <c r="H25" s="303">
        <f>SUM(H20:H24)</f>
        <v>174156.14200000002</v>
      </c>
      <c r="I25" s="303">
        <f t="shared" ref="I25:AA25" si="1">SUM(I20:I24)</f>
        <v>178760.02412576062</v>
      </c>
      <c r="J25" s="303">
        <f t="shared" si="1"/>
        <v>184030.61299600024</v>
      </c>
      <c r="K25" s="303">
        <f t="shared" si="1"/>
        <v>193447.27073471973</v>
      </c>
      <c r="L25" s="303">
        <f t="shared" si="1"/>
        <v>204874.19378733347</v>
      </c>
      <c r="M25" s="303">
        <f t="shared" si="1"/>
        <v>210836.69542240034</v>
      </c>
      <c r="N25" s="303">
        <f t="shared" si="1"/>
        <v>217302.02354400011</v>
      </c>
      <c r="O25" s="303">
        <f t="shared" si="1"/>
        <v>224072.12569563996</v>
      </c>
      <c r="P25" s="303">
        <f t="shared" si="1"/>
        <v>226644.8105301802</v>
      </c>
      <c r="Q25" s="303">
        <f t="shared" si="1"/>
        <v>231376.40231936035</v>
      </c>
      <c r="R25" s="303">
        <f t="shared" si="1"/>
        <v>235801.84108583978</v>
      </c>
      <c r="S25" s="303">
        <f t="shared" si="1"/>
        <v>240673.61307455998</v>
      </c>
      <c r="T25" s="303">
        <f t="shared" si="1"/>
        <v>242662.47306682731</v>
      </c>
      <c r="U25" s="303">
        <f t="shared" si="1"/>
        <v>245603.71546279985</v>
      </c>
      <c r="V25" s="303">
        <f t="shared" si="1"/>
        <v>247587.16278879988</v>
      </c>
      <c r="W25" s="303">
        <f t="shared" si="1"/>
        <v>250255.95054625254</v>
      </c>
      <c r="X25" s="303">
        <f t="shared" si="1"/>
        <v>252762.29920081087</v>
      </c>
      <c r="Y25" s="303">
        <f t="shared" si="1"/>
        <v>256089.2158376126</v>
      </c>
      <c r="Z25" s="303">
        <f t="shared" si="1"/>
        <v>258596.85734728209</v>
      </c>
      <c r="AA25" s="303">
        <f t="shared" si="1"/>
        <v>261587.18989522118</v>
      </c>
    </row>
    <row r="26" spans="1:27" s="24" customFormat="1" x14ac:dyDescent="0.2">
      <c r="A26" s="328" t="s">
        <v>71</v>
      </c>
      <c r="B26" s="114"/>
      <c r="C26" s="114"/>
      <c r="D26" s="114"/>
      <c r="E26" s="329"/>
      <c r="F26" s="329"/>
      <c r="G26" s="329"/>
      <c r="H26" s="329">
        <f>SUM(H19,H25)</f>
        <v>552526.94200000004</v>
      </c>
      <c r="I26" s="329">
        <f t="shared" ref="I26:AA26" si="2">SUM(I19,I25)</f>
        <v>543544.42412576068</v>
      </c>
      <c r="J26" s="329">
        <f t="shared" si="2"/>
        <v>556024.61299600021</v>
      </c>
      <c r="K26" s="329">
        <f t="shared" si="2"/>
        <v>572352.07073471975</v>
      </c>
      <c r="L26" s="329">
        <f t="shared" si="2"/>
        <v>607403.39378733351</v>
      </c>
      <c r="M26" s="329">
        <f t="shared" si="2"/>
        <v>629426.69542240037</v>
      </c>
      <c r="N26" s="329">
        <f t="shared" si="2"/>
        <v>637177.22354400018</v>
      </c>
      <c r="O26" s="329">
        <f t="shared" si="2"/>
        <v>647453.72569563997</v>
      </c>
      <c r="P26" s="329">
        <f t="shared" si="2"/>
        <v>650608.4105301802</v>
      </c>
      <c r="Q26" s="329">
        <f t="shared" si="2"/>
        <v>658060.40231936029</v>
      </c>
      <c r="R26" s="329">
        <f t="shared" si="2"/>
        <v>664783.84108583978</v>
      </c>
      <c r="S26" s="329">
        <f t="shared" si="2"/>
        <v>666828.41307456</v>
      </c>
      <c r="T26" s="329">
        <f t="shared" si="2"/>
        <v>665262.87306682731</v>
      </c>
      <c r="U26" s="329">
        <f t="shared" si="2"/>
        <v>666866.11546279991</v>
      </c>
      <c r="V26" s="329">
        <f t="shared" si="2"/>
        <v>665217.16278879985</v>
      </c>
      <c r="W26" s="329">
        <f t="shared" si="2"/>
        <v>667105.95054625254</v>
      </c>
      <c r="X26" s="329">
        <f t="shared" si="2"/>
        <v>667119.89920081082</v>
      </c>
      <c r="Y26" s="329">
        <f t="shared" si="2"/>
        <v>670848.81583761261</v>
      </c>
      <c r="Z26" s="329">
        <f t="shared" si="2"/>
        <v>671213.25734728202</v>
      </c>
      <c r="AA26" s="329">
        <f t="shared" si="2"/>
        <v>673344.3898952211</v>
      </c>
    </row>
    <row r="27" spans="1:27" x14ac:dyDescent="0.2">
      <c r="A27" s="305" t="s">
        <v>269</v>
      </c>
      <c r="B27" s="290"/>
      <c r="C27" s="290"/>
      <c r="D27" s="290"/>
      <c r="E27" s="304"/>
      <c r="F27" s="304"/>
      <c r="G27" s="304"/>
      <c r="H27" s="304">
        <f>$C$9*$I$9*730*Assumptions!E$42</f>
        <v>1024044</v>
      </c>
      <c r="I27" s="304">
        <f>$C$9*$I$9*730*Assumptions!F$42</f>
        <v>1000082.9296000079</v>
      </c>
      <c r="J27" s="304">
        <f>$C$9*$I$9*730*Assumptions!G$42</f>
        <v>1033815.716000003</v>
      </c>
      <c r="K27" s="304">
        <f>$C$9*$I$9*730*Assumptions!H$42</f>
        <v>1119181.7491999967</v>
      </c>
      <c r="L27" s="304">
        <f>$C$9*$I$9*730*Assumptions!I$42</f>
        <v>1176239.6803333345</v>
      </c>
      <c r="M27" s="304">
        <f>$C$9*$I$9*730*Assumptions!J$42</f>
        <v>1194156.392000004</v>
      </c>
      <c r="N27" s="304">
        <f>$C$9*$I$9*730*Assumptions!K$42</f>
        <v>1264266.4672000012</v>
      </c>
      <c r="O27" s="304">
        <f>$C$9*$I$9*730*Assumptions!L$42</f>
        <v>1328354.4715999993</v>
      </c>
      <c r="P27" s="304">
        <f>$C$9*$I$9*730*Assumptions!M$42</f>
        <v>1355822.5365081951</v>
      </c>
      <c r="Q27" s="304">
        <f>$C$9*$I$9*730*Assumptions!N$42</f>
        <v>1400941.854800004</v>
      </c>
      <c r="R27" s="304">
        <f>$C$9*$I$9*730*Assumptions!O$42</f>
        <v>1442281.7875999974</v>
      </c>
      <c r="S27" s="304">
        <f>$C$9*$I$9*730*Assumptions!P$42</f>
        <v>1506358.5295999998</v>
      </c>
      <c r="T27" s="304">
        <f>$C$9*$I$9*730*Assumptions!Q$42</f>
        <v>1537630.4661912567</v>
      </c>
      <c r="U27" s="304">
        <f>$C$9*$I$9*730*Assumptions!R$42</f>
        <v>1575449.051999998</v>
      </c>
      <c r="V27" s="304">
        <f>$C$9*$I$9*730*Assumptions!S$42</f>
        <v>1608305.0331999986</v>
      </c>
      <c r="W27" s="304">
        <f>$C$9*$I$9*730*Assumptions!T$42</f>
        <v>1640795.6069708983</v>
      </c>
      <c r="X27" s="304">
        <f>$C$9*$I$9*730*Assumptions!U$42</f>
        <v>1673943.6959716252</v>
      </c>
      <c r="Y27" s="304">
        <f>$C$9*$I$9*730*Assumptions!V$42</f>
        <v>1707760.377222898</v>
      </c>
      <c r="Z27" s="304">
        <f>$C$9*$I$9*730*Assumptions!W$42</f>
        <v>1742261.7437548172</v>
      </c>
      <c r="AA27" s="304">
        <f>$C$9*$I$9*730*Assumptions!X$42</f>
        <v>1777458.0365865384</v>
      </c>
    </row>
    <row r="28" spans="1:27" s="24" customFormat="1" x14ac:dyDescent="0.2">
      <c r="A28" s="26" t="s">
        <v>270</v>
      </c>
      <c r="B28" s="30"/>
      <c r="C28" s="30"/>
      <c r="D28" s="30"/>
      <c r="E28" s="327"/>
      <c r="F28" s="327"/>
      <c r="G28" s="327"/>
      <c r="H28" s="327">
        <f>H26+H27</f>
        <v>1576570.942</v>
      </c>
      <c r="I28" s="327">
        <f t="shared" ref="I28:AA28" si="3">I26+I27</f>
        <v>1543627.3537257686</v>
      </c>
      <c r="J28" s="327">
        <f t="shared" si="3"/>
        <v>1589840.3289960031</v>
      </c>
      <c r="K28" s="327">
        <f t="shared" si="3"/>
        <v>1691533.8199347164</v>
      </c>
      <c r="L28" s="327">
        <f t="shared" si="3"/>
        <v>1783643.074120668</v>
      </c>
      <c r="M28" s="327">
        <f t="shared" si="3"/>
        <v>1823583.0874224044</v>
      </c>
      <c r="N28" s="327">
        <f t="shared" si="3"/>
        <v>1901443.6907440014</v>
      </c>
      <c r="O28" s="327">
        <f t="shared" si="3"/>
        <v>1975808.1972956392</v>
      </c>
      <c r="P28" s="327">
        <f t="shared" si="3"/>
        <v>2006430.9470383753</v>
      </c>
      <c r="Q28" s="327">
        <f t="shared" si="3"/>
        <v>2059002.2571193643</v>
      </c>
      <c r="R28" s="327">
        <f t="shared" si="3"/>
        <v>2107065.6286858371</v>
      </c>
      <c r="S28" s="327">
        <f t="shared" si="3"/>
        <v>2173186.9426745595</v>
      </c>
      <c r="T28" s="327">
        <f t="shared" si="3"/>
        <v>2202893.3392580841</v>
      </c>
      <c r="U28" s="327">
        <f t="shared" si="3"/>
        <v>2242315.1674627978</v>
      </c>
      <c r="V28" s="327">
        <f t="shared" si="3"/>
        <v>2273522.1959887985</v>
      </c>
      <c r="W28" s="327">
        <f t="shared" si="3"/>
        <v>2307901.5575171509</v>
      </c>
      <c r="X28" s="327">
        <f t="shared" si="3"/>
        <v>2341063.595172436</v>
      </c>
      <c r="Y28" s="327">
        <f t="shared" si="3"/>
        <v>2378609.1930605108</v>
      </c>
      <c r="Z28" s="327">
        <f t="shared" si="3"/>
        <v>2413475.0011020992</v>
      </c>
      <c r="AA28" s="327">
        <f t="shared" si="3"/>
        <v>2450802.4264817596</v>
      </c>
    </row>
    <row r="29" spans="1:27" s="28" customFormat="1" x14ac:dyDescent="0.2"/>
    <row r="30" spans="1:27" s="109" customFormat="1" x14ac:dyDescent="0.2">
      <c r="A30" s="110" t="s">
        <v>356</v>
      </c>
      <c r="B30" s="110"/>
      <c r="C30" s="110"/>
      <c r="D30" s="110"/>
      <c r="E30" s="111"/>
      <c r="F30" s="111"/>
      <c r="G30" s="111"/>
      <c r="H30" s="111">
        <f>H16</f>
        <v>2020</v>
      </c>
      <c r="I30" s="111">
        <f t="shared" ref="I30:AA30" si="4">I16</f>
        <v>2021</v>
      </c>
      <c r="J30" s="111">
        <f t="shared" si="4"/>
        <v>2022</v>
      </c>
      <c r="K30" s="111">
        <f t="shared" si="4"/>
        <v>2023</v>
      </c>
      <c r="L30" s="111">
        <f t="shared" si="4"/>
        <v>2024</v>
      </c>
      <c r="M30" s="111">
        <f t="shared" si="4"/>
        <v>2025</v>
      </c>
      <c r="N30" s="111">
        <f t="shared" si="4"/>
        <v>2026</v>
      </c>
      <c r="O30" s="111">
        <f t="shared" si="4"/>
        <v>2027</v>
      </c>
      <c r="P30" s="111">
        <f t="shared" si="4"/>
        <v>2028</v>
      </c>
      <c r="Q30" s="111">
        <f t="shared" si="4"/>
        <v>2029</v>
      </c>
      <c r="R30" s="111">
        <f t="shared" si="4"/>
        <v>2030</v>
      </c>
      <c r="S30" s="111">
        <f t="shared" si="4"/>
        <v>2031</v>
      </c>
      <c r="T30" s="111">
        <f t="shared" si="4"/>
        <v>2032</v>
      </c>
      <c r="U30" s="111">
        <f t="shared" si="4"/>
        <v>2033</v>
      </c>
      <c r="V30" s="111">
        <f t="shared" si="4"/>
        <v>2034</v>
      </c>
      <c r="W30" s="111">
        <f t="shared" si="4"/>
        <v>2035</v>
      </c>
      <c r="X30" s="111">
        <f t="shared" si="4"/>
        <v>2036</v>
      </c>
      <c r="Y30" s="111">
        <f t="shared" si="4"/>
        <v>2037</v>
      </c>
      <c r="Z30" s="111">
        <f t="shared" si="4"/>
        <v>2038</v>
      </c>
      <c r="AA30" s="111">
        <f t="shared" si="4"/>
        <v>2039</v>
      </c>
    </row>
    <row r="31" spans="1:27" x14ac:dyDescent="0.2">
      <c r="A31" s="33" t="s">
        <v>264</v>
      </c>
      <c r="B31" s="33"/>
      <c r="C31" s="33"/>
      <c r="D31" s="33"/>
      <c r="E31" s="189"/>
      <c r="F31" s="189"/>
      <c r="G31" s="189"/>
      <c r="H31" s="189">
        <f>$C$9*$F$11*Rates!E120</f>
        <v>196814.12239910374</v>
      </c>
      <c r="I31" s="189">
        <f>$C$9*$F$11*Rates!F120</f>
        <v>189724.46657632003</v>
      </c>
      <c r="J31" s="189">
        <f>$C$9*$F$11*Rates!G120</f>
        <v>193566.27484496657</v>
      </c>
      <c r="K31" s="189">
        <f>$C$9*$F$11*Rates!H120</f>
        <v>197106.39392497027</v>
      </c>
      <c r="L31" s="189">
        <f>$C$9*$F$11*Rates!I120</f>
        <v>209460.59994117927</v>
      </c>
      <c r="M31" s="189">
        <f>$C$9*$F$11*Rates!J120</f>
        <v>217743.06844230689</v>
      </c>
      <c r="N31" s="189">
        <f>$C$9*$F$11*Rates!K120</f>
        <v>218384.56376063201</v>
      </c>
      <c r="O31" s="189">
        <f>$C$9*$F$11*Rates!L120</f>
        <v>220189.71651751292</v>
      </c>
      <c r="P31" s="189">
        <f>$C$9*$F$11*Rates!M120</f>
        <v>220509.20682427427</v>
      </c>
      <c r="Q31" s="189">
        <f>$C$9*$F$11*Rates!N120</f>
        <v>221888.3116426137</v>
      </c>
      <c r="R31" s="189">
        <f>$C$9*$F$11*Rates!O120</f>
        <v>223194.79589618824</v>
      </c>
      <c r="S31" s="189">
        <f>$C$9*$F$11*Rates!P120</f>
        <v>221688.51638862939</v>
      </c>
      <c r="T31" s="189">
        <f>$C$9*$F$11*Rates!Q120</f>
        <v>219840.20525751068</v>
      </c>
      <c r="U31" s="189">
        <f>$C$9*$F$11*Rates!R120</f>
        <v>219081.0328412253</v>
      </c>
      <c r="V31" s="189">
        <f>$C$9*$F$11*Rates!S120</f>
        <v>217199.39459245582</v>
      </c>
      <c r="W31" s="189">
        <f>$C$9*$F$11*Rates!T120</f>
        <v>216755.68745473473</v>
      </c>
      <c r="X31" s="189">
        <f>$C$9*$F$11*Rates!U120</f>
        <v>215522.06975258669</v>
      </c>
      <c r="Y31" s="189">
        <f>$C$9*$F$11*Rates!V120</f>
        <v>215745.02178793863</v>
      </c>
      <c r="Z31" s="189">
        <f>$C$9*$F$11*Rates!W120</f>
        <v>214625.66908548342</v>
      </c>
      <c r="AA31" s="189">
        <f>$C$9*$F$11*Rates!X120</f>
        <v>214243.07768176976</v>
      </c>
    </row>
    <row r="32" spans="1:27" x14ac:dyDescent="0.2">
      <c r="A32" s="61" t="s">
        <v>265</v>
      </c>
      <c r="B32" s="33"/>
      <c r="C32" s="33"/>
      <c r="D32" s="33"/>
      <c r="E32" s="189"/>
      <c r="F32" s="189"/>
      <c r="G32" s="189"/>
      <c r="H32" s="189">
        <f>$C$9*$F$12*Rates!E121</f>
        <v>199788.66132908047</v>
      </c>
      <c r="I32" s="189">
        <f>$C$9*$F$12*Rates!F121</f>
        <v>192591.85640038937</v>
      </c>
      <c r="J32" s="189">
        <f>$C$9*$F$12*Rates!G121</f>
        <v>196491.72761755451</v>
      </c>
      <c r="K32" s="189">
        <f>$C$9*$F$12*Rates!H121</f>
        <v>200085.35008385929</v>
      </c>
      <c r="L32" s="189">
        <f>$C$9*$F$12*Rates!I121</f>
        <v>212626.27068282393</v>
      </c>
      <c r="M32" s="189">
        <f>$C$9*$F$12*Rates!J121</f>
        <v>221033.91579573424</v>
      </c>
      <c r="N32" s="189">
        <f>$C$9*$F$12*Rates!K121</f>
        <v>221685.10631669272</v>
      </c>
      <c r="O32" s="189">
        <f>$C$9*$F$12*Rates!L121</f>
        <v>223517.54114604101</v>
      </c>
      <c r="P32" s="189">
        <f>$C$9*$F$12*Rates!M121</f>
        <v>223841.86005119575</v>
      </c>
      <c r="Q32" s="189">
        <f>$C$9*$F$12*Rates!N121</f>
        <v>225241.80789096403</v>
      </c>
      <c r="R32" s="189">
        <f>$C$9*$F$12*Rates!O121</f>
        <v>226568.03761923464</v>
      </c>
      <c r="S32" s="189">
        <f>$C$9*$F$12*Rates!P121</f>
        <v>225038.99304288885</v>
      </c>
      <c r="T32" s="189">
        <f>$C$9*$F$12*Rates!Q121</f>
        <v>223162.74756769356</v>
      </c>
      <c r="U32" s="189">
        <f>$C$9*$F$12*Rates!R121</f>
        <v>222392.10144271658</v>
      </c>
      <c r="V32" s="189">
        <f>$C$9*$F$12*Rates!S121</f>
        <v>220482.02516239288</v>
      </c>
      <c r="W32" s="189">
        <f>$C$9*$F$12*Rates!T121</f>
        <v>220031.61208234113</v>
      </c>
      <c r="X32" s="189">
        <f>$C$9*$F$12*Rates!U121</f>
        <v>218779.35016993515</v>
      </c>
      <c r="Y32" s="189">
        <f>$C$9*$F$12*Rates!V121</f>
        <v>219005.67177806259</v>
      </c>
      <c r="Z32" s="189">
        <f>$C$9*$F$12*Rates!W121</f>
        <v>217869.40180285662</v>
      </c>
      <c r="AA32" s="189">
        <f>$C$9*$F$12*Rates!X121</f>
        <v>217481.02812594661</v>
      </c>
    </row>
    <row r="33" spans="1:27" s="24" customFormat="1" x14ac:dyDescent="0.2">
      <c r="A33" s="26" t="s">
        <v>263</v>
      </c>
      <c r="B33" s="30"/>
      <c r="C33" s="30"/>
      <c r="D33" s="30"/>
      <c r="E33" s="327"/>
      <c r="F33" s="327"/>
      <c r="G33" s="327"/>
      <c r="H33" s="327">
        <f>H32+H31</f>
        <v>396602.78372818418</v>
      </c>
      <c r="I33" s="327">
        <f t="shared" ref="I33:AA33" si="5">I32+I31</f>
        <v>382316.3229767094</v>
      </c>
      <c r="J33" s="327">
        <f t="shared" si="5"/>
        <v>390058.00246252108</v>
      </c>
      <c r="K33" s="327">
        <f t="shared" si="5"/>
        <v>397191.74400882958</v>
      </c>
      <c r="L33" s="327">
        <f t="shared" si="5"/>
        <v>422086.87062400323</v>
      </c>
      <c r="M33" s="327">
        <f t="shared" si="5"/>
        <v>438776.9842380411</v>
      </c>
      <c r="N33" s="327">
        <f t="shared" si="5"/>
        <v>440069.67007732473</v>
      </c>
      <c r="O33" s="327">
        <f t="shared" si="5"/>
        <v>443707.25766355393</v>
      </c>
      <c r="P33" s="327">
        <f t="shared" si="5"/>
        <v>444351.06687546999</v>
      </c>
      <c r="Q33" s="327">
        <f t="shared" si="5"/>
        <v>447130.1195335777</v>
      </c>
      <c r="R33" s="327">
        <f t="shared" si="5"/>
        <v>449762.83351542288</v>
      </c>
      <c r="S33" s="327">
        <f t="shared" si="5"/>
        <v>446727.50943151827</v>
      </c>
      <c r="T33" s="327">
        <f t="shared" si="5"/>
        <v>443002.95282520424</v>
      </c>
      <c r="U33" s="327">
        <f t="shared" si="5"/>
        <v>441473.13428394188</v>
      </c>
      <c r="V33" s="327">
        <f t="shared" si="5"/>
        <v>437681.4197548487</v>
      </c>
      <c r="W33" s="327">
        <f t="shared" si="5"/>
        <v>436787.29953707586</v>
      </c>
      <c r="X33" s="327">
        <f t="shared" si="5"/>
        <v>434301.4199225218</v>
      </c>
      <c r="Y33" s="327">
        <f t="shared" si="5"/>
        <v>434750.69356600125</v>
      </c>
      <c r="Z33" s="327">
        <f t="shared" si="5"/>
        <v>432495.07088834001</v>
      </c>
      <c r="AA33" s="327">
        <f t="shared" si="5"/>
        <v>431724.10580771638</v>
      </c>
    </row>
    <row r="34" spans="1:27" x14ac:dyDescent="0.2">
      <c r="A34" s="60" t="s">
        <v>262</v>
      </c>
      <c r="B34" s="33"/>
      <c r="C34" s="33"/>
      <c r="D34" s="33"/>
      <c r="E34" s="189"/>
      <c r="F34" s="189"/>
      <c r="G34" s="189"/>
      <c r="H34" s="189">
        <f>H25</f>
        <v>174156.14200000002</v>
      </c>
      <c r="I34" s="189">
        <f t="shared" ref="I34:AA34" si="6">I25</f>
        <v>178760.02412576062</v>
      </c>
      <c r="J34" s="189">
        <f t="shared" si="6"/>
        <v>184030.61299600024</v>
      </c>
      <c r="K34" s="189">
        <f t="shared" si="6"/>
        <v>193447.27073471973</v>
      </c>
      <c r="L34" s="189">
        <f t="shared" si="6"/>
        <v>204874.19378733347</v>
      </c>
      <c r="M34" s="189">
        <f t="shared" si="6"/>
        <v>210836.69542240034</v>
      </c>
      <c r="N34" s="189">
        <f t="shared" si="6"/>
        <v>217302.02354400011</v>
      </c>
      <c r="O34" s="189">
        <f t="shared" si="6"/>
        <v>224072.12569563996</v>
      </c>
      <c r="P34" s="189">
        <f t="shared" si="6"/>
        <v>226644.8105301802</v>
      </c>
      <c r="Q34" s="189">
        <f t="shared" si="6"/>
        <v>231376.40231936035</v>
      </c>
      <c r="R34" s="189">
        <f t="shared" si="6"/>
        <v>235801.84108583978</v>
      </c>
      <c r="S34" s="189">
        <f t="shared" si="6"/>
        <v>240673.61307455998</v>
      </c>
      <c r="T34" s="189">
        <f t="shared" si="6"/>
        <v>242662.47306682731</v>
      </c>
      <c r="U34" s="189">
        <f t="shared" si="6"/>
        <v>245603.71546279985</v>
      </c>
      <c r="V34" s="189">
        <f t="shared" si="6"/>
        <v>247587.16278879988</v>
      </c>
      <c r="W34" s="189">
        <f t="shared" si="6"/>
        <v>250255.95054625254</v>
      </c>
      <c r="X34" s="189">
        <f t="shared" si="6"/>
        <v>252762.29920081087</v>
      </c>
      <c r="Y34" s="189">
        <f t="shared" si="6"/>
        <v>256089.2158376126</v>
      </c>
      <c r="Z34" s="189">
        <f t="shared" si="6"/>
        <v>258596.85734728209</v>
      </c>
      <c r="AA34" s="189">
        <f t="shared" si="6"/>
        <v>261587.18989522118</v>
      </c>
    </row>
    <row r="35" spans="1:27" s="24" customFormat="1" x14ac:dyDescent="0.2">
      <c r="A35" s="328" t="s">
        <v>71</v>
      </c>
      <c r="B35" s="114"/>
      <c r="C35" s="114"/>
      <c r="D35" s="114"/>
      <c r="E35" s="329"/>
      <c r="F35" s="329"/>
      <c r="G35" s="329"/>
      <c r="H35" s="329">
        <f>SUM(H33:H34)</f>
        <v>570758.92572818417</v>
      </c>
      <c r="I35" s="329">
        <f t="shared" ref="I35:AA35" si="7">SUM(I33:I34)</f>
        <v>561076.34710247</v>
      </c>
      <c r="J35" s="329">
        <f t="shared" si="7"/>
        <v>574088.61545852129</v>
      </c>
      <c r="K35" s="329">
        <f t="shared" si="7"/>
        <v>590639.01474354928</v>
      </c>
      <c r="L35" s="329">
        <f t="shared" si="7"/>
        <v>626961.06441133667</v>
      </c>
      <c r="M35" s="329">
        <f t="shared" si="7"/>
        <v>649613.67966044147</v>
      </c>
      <c r="N35" s="329">
        <f t="shared" si="7"/>
        <v>657371.69362132484</v>
      </c>
      <c r="O35" s="329">
        <f t="shared" si="7"/>
        <v>667779.38335919392</v>
      </c>
      <c r="P35" s="329">
        <f t="shared" si="7"/>
        <v>670995.87740565022</v>
      </c>
      <c r="Q35" s="329">
        <f t="shared" si="7"/>
        <v>678506.52185293799</v>
      </c>
      <c r="R35" s="329">
        <f t="shared" si="7"/>
        <v>685564.67460126267</v>
      </c>
      <c r="S35" s="329">
        <f t="shared" si="7"/>
        <v>687401.12250607822</v>
      </c>
      <c r="T35" s="329">
        <f t="shared" si="7"/>
        <v>685665.42589203152</v>
      </c>
      <c r="U35" s="329">
        <f t="shared" si="7"/>
        <v>687076.8497467417</v>
      </c>
      <c r="V35" s="329">
        <f t="shared" si="7"/>
        <v>685268.58254364855</v>
      </c>
      <c r="W35" s="329">
        <f t="shared" si="7"/>
        <v>687043.25008332846</v>
      </c>
      <c r="X35" s="329">
        <f t="shared" si="7"/>
        <v>687063.71912333264</v>
      </c>
      <c r="Y35" s="329">
        <f t="shared" si="7"/>
        <v>690839.90940361388</v>
      </c>
      <c r="Z35" s="329">
        <f t="shared" si="7"/>
        <v>691091.92823562212</v>
      </c>
      <c r="AA35" s="329">
        <f t="shared" si="7"/>
        <v>693311.29570293752</v>
      </c>
    </row>
    <row r="36" spans="1:27" x14ac:dyDescent="0.2">
      <c r="A36" s="305" t="s">
        <v>269</v>
      </c>
      <c r="B36" s="290"/>
      <c r="C36" s="290"/>
      <c r="D36" s="290"/>
      <c r="E36" s="304"/>
      <c r="F36" s="304"/>
      <c r="G36" s="304"/>
      <c r="H36" s="304">
        <f>$C$9*$I$9*730*Assumptions!E$42</f>
        <v>1024044</v>
      </c>
      <c r="I36" s="304">
        <f>$C$9*$I$9*730*Assumptions!F$42</f>
        <v>1000082.9296000079</v>
      </c>
      <c r="J36" s="304">
        <f>$C$9*$I$9*730*Assumptions!G$42</f>
        <v>1033815.716000003</v>
      </c>
      <c r="K36" s="304">
        <f>$C$9*$I$9*730*Assumptions!H$42</f>
        <v>1119181.7491999967</v>
      </c>
      <c r="L36" s="304">
        <f>$C$9*$I$9*730*Assumptions!I$42</f>
        <v>1176239.6803333345</v>
      </c>
      <c r="M36" s="304">
        <f>$C$9*$I$9*730*Assumptions!J$42</f>
        <v>1194156.392000004</v>
      </c>
      <c r="N36" s="304">
        <f>$C$9*$I$9*730*Assumptions!K$42</f>
        <v>1264266.4672000012</v>
      </c>
      <c r="O36" s="304">
        <f>$C$9*$I$9*730*Assumptions!L$42</f>
        <v>1328354.4715999993</v>
      </c>
      <c r="P36" s="304">
        <f>$C$9*$I$9*730*Assumptions!M$42</f>
        <v>1355822.5365081951</v>
      </c>
      <c r="Q36" s="304">
        <f>$C$9*$I$9*730*Assumptions!N$42</f>
        <v>1400941.854800004</v>
      </c>
      <c r="R36" s="304">
        <f>$C$9*$I$9*730*Assumptions!O$42</f>
        <v>1442281.7875999974</v>
      </c>
      <c r="S36" s="304">
        <f>$C$9*$I$9*730*Assumptions!P$42</f>
        <v>1506358.5295999998</v>
      </c>
      <c r="T36" s="304">
        <f>$C$9*$I$9*730*Assumptions!Q$42</f>
        <v>1537630.4661912567</v>
      </c>
      <c r="U36" s="304">
        <f>$C$9*$I$9*730*Assumptions!R$42</f>
        <v>1575449.051999998</v>
      </c>
      <c r="V36" s="304">
        <f>$C$9*$I$9*730*Assumptions!S$42</f>
        <v>1608305.0331999986</v>
      </c>
      <c r="W36" s="304">
        <f>$C$9*$I$9*730*Assumptions!T$42</f>
        <v>1640795.6069708983</v>
      </c>
      <c r="X36" s="304">
        <f>$C$9*$I$9*730*Assumptions!U$42</f>
        <v>1673943.6959716252</v>
      </c>
      <c r="Y36" s="304">
        <f>$C$9*$I$9*730*Assumptions!V$42</f>
        <v>1707760.377222898</v>
      </c>
      <c r="Z36" s="304">
        <f>$C$9*$I$9*730*Assumptions!W$42</f>
        <v>1742261.7437548172</v>
      </c>
      <c r="AA36" s="304">
        <f>$C$9*$I$9*730*Assumptions!X$42</f>
        <v>1777458.0365865384</v>
      </c>
    </row>
    <row r="37" spans="1:27" s="24" customFormat="1" x14ac:dyDescent="0.2">
      <c r="A37" s="26" t="s">
        <v>270</v>
      </c>
      <c r="B37" s="30"/>
      <c r="C37" s="30"/>
      <c r="D37" s="30"/>
      <c r="E37" s="327"/>
      <c r="F37" s="327"/>
      <c r="G37" s="327"/>
      <c r="H37" s="327">
        <f>H35+H36</f>
        <v>1594802.9257281842</v>
      </c>
      <c r="I37" s="327">
        <f t="shared" ref="I37:AA37" si="8">I35+I36</f>
        <v>1561159.2767024781</v>
      </c>
      <c r="J37" s="327">
        <f t="shared" si="8"/>
        <v>1607904.3314585243</v>
      </c>
      <c r="K37" s="327">
        <f t="shared" si="8"/>
        <v>1709820.763943546</v>
      </c>
      <c r="L37" s="327">
        <f t="shared" si="8"/>
        <v>1803200.744744671</v>
      </c>
      <c r="M37" s="327">
        <f t="shared" si="8"/>
        <v>1843770.0716604455</v>
      </c>
      <c r="N37" s="327">
        <f t="shared" si="8"/>
        <v>1921638.1608213261</v>
      </c>
      <c r="O37" s="327">
        <f t="shared" si="8"/>
        <v>1996133.8549591932</v>
      </c>
      <c r="P37" s="327">
        <f t="shared" si="8"/>
        <v>2026818.4139138453</v>
      </c>
      <c r="Q37" s="327">
        <f t="shared" si="8"/>
        <v>2079448.376652942</v>
      </c>
      <c r="R37" s="327">
        <f t="shared" si="8"/>
        <v>2127846.46220126</v>
      </c>
      <c r="S37" s="327">
        <f t="shared" si="8"/>
        <v>2193759.6521060779</v>
      </c>
      <c r="T37" s="327">
        <f t="shared" si="8"/>
        <v>2223295.8920832882</v>
      </c>
      <c r="U37" s="327">
        <f t="shared" si="8"/>
        <v>2262525.9017467396</v>
      </c>
      <c r="V37" s="327">
        <f t="shared" si="8"/>
        <v>2293573.6157436473</v>
      </c>
      <c r="W37" s="327">
        <f t="shared" si="8"/>
        <v>2327838.857054227</v>
      </c>
      <c r="X37" s="327">
        <f t="shared" si="8"/>
        <v>2361007.4150949577</v>
      </c>
      <c r="Y37" s="327">
        <f t="shared" si="8"/>
        <v>2398600.2866265117</v>
      </c>
      <c r="Z37" s="327">
        <f t="shared" si="8"/>
        <v>2433353.6719904393</v>
      </c>
      <c r="AA37" s="327">
        <f t="shared" si="8"/>
        <v>2470769.3322894759</v>
      </c>
    </row>
    <row r="38" spans="1:27" x14ac:dyDescent="0.2">
      <c r="A38" s="27"/>
      <c r="B38" s="31"/>
      <c r="C38" s="31"/>
      <c r="D38" s="31"/>
      <c r="E38" s="302"/>
      <c r="F38" s="302"/>
      <c r="G38" s="302"/>
      <c r="H38" s="302"/>
      <c r="I38" s="302"/>
      <c r="J38" s="302"/>
      <c r="K38" s="302"/>
      <c r="L38" s="302"/>
      <c r="M38" s="302"/>
      <c r="N38" s="302"/>
      <c r="O38" s="302"/>
      <c r="P38" s="302"/>
      <c r="Q38" s="302"/>
      <c r="R38" s="302"/>
      <c r="S38" s="302"/>
      <c r="T38" s="302"/>
      <c r="U38" s="302"/>
      <c r="V38" s="302"/>
      <c r="W38" s="302"/>
      <c r="X38" s="302"/>
      <c r="Y38" s="302"/>
      <c r="Z38" s="302"/>
      <c r="AA38" s="302"/>
    </row>
    <row r="39" spans="1:27" s="109" customFormat="1" x14ac:dyDescent="0.2">
      <c r="A39" s="110" t="s">
        <v>357</v>
      </c>
      <c r="B39" s="110"/>
      <c r="C39" s="110"/>
      <c r="D39" s="110"/>
      <c r="E39" s="111"/>
      <c r="F39" s="111"/>
      <c r="G39" s="111"/>
      <c r="H39" s="111">
        <f>Rates!E29</f>
        <v>2020</v>
      </c>
      <c r="I39" s="111">
        <f>Rates!F29</f>
        <v>2021</v>
      </c>
      <c r="J39" s="111">
        <f>Rates!G29</f>
        <v>2022</v>
      </c>
      <c r="K39" s="111">
        <f>Rates!H29</f>
        <v>2023</v>
      </c>
      <c r="L39" s="111">
        <f>Rates!I29</f>
        <v>2024</v>
      </c>
      <c r="M39" s="111">
        <f>Rates!J29</f>
        <v>2025</v>
      </c>
      <c r="N39" s="111">
        <f>Rates!K29</f>
        <v>2026</v>
      </c>
      <c r="O39" s="111">
        <f>Rates!L29</f>
        <v>2027</v>
      </c>
      <c r="P39" s="111">
        <f>Rates!M29</f>
        <v>2028</v>
      </c>
      <c r="Q39" s="111">
        <f>Rates!N29</f>
        <v>2029</v>
      </c>
      <c r="R39" s="111">
        <f>Rates!O29</f>
        <v>2030</v>
      </c>
      <c r="S39" s="111">
        <f>Rates!P29</f>
        <v>2031</v>
      </c>
      <c r="T39" s="111">
        <f>Rates!Q29</f>
        <v>2032</v>
      </c>
      <c r="U39" s="111">
        <f>Rates!R29</f>
        <v>2033</v>
      </c>
      <c r="V39" s="111">
        <f>Rates!S29</f>
        <v>2034</v>
      </c>
      <c r="W39" s="111">
        <f>Rates!T29</f>
        <v>2035</v>
      </c>
      <c r="X39" s="111">
        <f>Rates!U29</f>
        <v>2036</v>
      </c>
      <c r="Y39" s="111">
        <f>Rates!V29</f>
        <v>2037</v>
      </c>
      <c r="Z39" s="111">
        <f>Rates!W29</f>
        <v>2038</v>
      </c>
      <c r="AA39" s="111">
        <f>Rates!X29</f>
        <v>2039</v>
      </c>
    </row>
    <row r="40" spans="1:27" x14ac:dyDescent="0.2">
      <c r="A40" s="61" t="s">
        <v>267</v>
      </c>
      <c r="B40" s="33"/>
      <c r="C40" s="33"/>
      <c r="D40" s="33"/>
      <c r="E40" s="189"/>
      <c r="F40" s="189"/>
      <c r="G40" s="189"/>
      <c r="H40" s="189">
        <f>$F$9*Rates!E126</f>
        <v>145502.079416844</v>
      </c>
      <c r="I40" s="189">
        <f>$F$9*Rates!F126</f>
        <v>140260.79057034064</v>
      </c>
      <c r="J40" s="189">
        <f>$F$9*Rates!G126</f>
        <v>143100.98864655063</v>
      </c>
      <c r="K40" s="189">
        <f>$F$9*Rates!H126</f>
        <v>145718.15189299325</v>
      </c>
      <c r="L40" s="189">
        <f>$F$9*Rates!I126</f>
        <v>154851.45311645605</v>
      </c>
      <c r="M40" s="189">
        <f>$F$9*Rates!J126</f>
        <v>160974.57261077169</v>
      </c>
      <c r="N40" s="189">
        <f>$F$9*Rates!K126</f>
        <v>161448.82162102923</v>
      </c>
      <c r="O40" s="189">
        <f>$F$9*Rates!L126</f>
        <v>162783.34719566561</v>
      </c>
      <c r="P40" s="189">
        <f>$F$9*Rates!M126</f>
        <v>163019.54215678244</v>
      </c>
      <c r="Q40" s="189">
        <f>$F$9*Rates!N126</f>
        <v>164039.09612148863</v>
      </c>
      <c r="R40" s="189">
        <f>$F$9*Rates!O126</f>
        <v>165004.96266248298</v>
      </c>
      <c r="S40" s="189">
        <f>$F$9*Rates!P126</f>
        <v>163891.39013089222</v>
      </c>
      <c r="T40" s="189">
        <f>$F$9*Rates!Q126</f>
        <v>162524.95814060172</v>
      </c>
      <c r="U40" s="189">
        <f>$F$9*Rates!R126</f>
        <v>161963.71200714877</v>
      </c>
      <c r="V40" s="189">
        <f>$F$9*Rates!S126</f>
        <v>160572.64171926037</v>
      </c>
      <c r="W40" s="189">
        <f>$F$9*Rates!T126</f>
        <v>160244.61489677656</v>
      </c>
      <c r="X40" s="189">
        <f>$F$9*Rates!U126</f>
        <v>159332.61763418184</v>
      </c>
      <c r="Y40" s="189">
        <f>$F$9*Rates!V126</f>
        <v>159497.44312718249</v>
      </c>
      <c r="Z40" s="189">
        <f>$F$9*Rates!W126</f>
        <v>158669.92046863146</v>
      </c>
      <c r="AA40" s="189">
        <f>$F$9*Rates!X126</f>
        <v>158387.07570053876</v>
      </c>
    </row>
    <row r="41" spans="1:27" x14ac:dyDescent="0.2">
      <c r="A41" s="33" t="s">
        <v>266</v>
      </c>
      <c r="B41" s="33"/>
      <c r="C41" s="33"/>
      <c r="D41" s="33"/>
      <c r="E41" s="189"/>
      <c r="F41" s="189"/>
      <c r="G41" s="189"/>
      <c r="H41" s="189">
        <f>$C$9*$I$9*730*Rates!E125</f>
        <v>216010.30320267184</v>
      </c>
      <c r="I41" s="189">
        <f>$C$9*$I$9*730*Rates!F125</f>
        <v>215052.43926767656</v>
      </c>
      <c r="J41" s="189">
        <f>$C$9*$I$9*730*Rates!G125</f>
        <v>219407.12400750065</v>
      </c>
      <c r="K41" s="189">
        <f>$C$9*$I$9*730*Rates!H125</f>
        <v>223419.8444393517</v>
      </c>
      <c r="L41" s="189">
        <f>$C$9*$I$9*730*Rates!I125</f>
        <v>237423.32109655134</v>
      </c>
      <c r="M41" s="189">
        <f>$C$9*$I$9*730*Rates!J125</f>
        <v>246811.48850831043</v>
      </c>
      <c r="N41" s="189">
        <f>$C$9*$I$9*730*Rates!K125</f>
        <v>247538.62262798456</v>
      </c>
      <c r="O41" s="189">
        <f>$C$9*$I$9*730*Rates!L125</f>
        <v>249584.76096018459</v>
      </c>
      <c r="P41" s="189">
        <f>$C$9*$I$9*730*Rates!M125</f>
        <v>249946.90281268925</v>
      </c>
      <c r="Q41" s="189">
        <f>$C$9*$I$9*730*Rates!N125</f>
        <v>251510.11635357636</v>
      </c>
      <c r="R41" s="189">
        <f>$C$9*$I$9*730*Rates!O125</f>
        <v>252991.01457754365</v>
      </c>
      <c r="S41" s="189">
        <f>$C$9*$I$9*730*Rates!P125</f>
        <v>251283.64868971216</v>
      </c>
      <c r="T41" s="189">
        <f>$C$9*$I$9*730*Rates!Q125</f>
        <v>249188.59039572673</v>
      </c>
      <c r="U41" s="189">
        <f>$C$9*$I$9*730*Rates!R125</f>
        <v>248328.06943660614</v>
      </c>
      <c r="V41" s="189">
        <f>$C$9*$I$9*730*Rates!S125</f>
        <v>246195.23489755389</v>
      </c>
      <c r="W41" s="189">
        <f>$C$9*$I$9*730*Rates!T125</f>
        <v>245692.29342664441</v>
      </c>
      <c r="X41" s="189">
        <f>$C$9*$I$9*730*Rates!U125</f>
        <v>244293.98934516212</v>
      </c>
      <c r="Y41" s="189">
        <f>$C$9*$I$9*730*Rates!V125</f>
        <v>244546.70519097446</v>
      </c>
      <c r="Z41" s="189">
        <f>$C$9*$I$9*730*Rates!W125</f>
        <v>243277.92033993351</v>
      </c>
      <c r="AA41" s="189">
        <f>$C$9*$I$9*730*Rates!X125</f>
        <v>242844.25347505207</v>
      </c>
    </row>
    <row r="42" spans="1:27" s="24" customFormat="1" x14ac:dyDescent="0.2">
      <c r="A42" s="26" t="s">
        <v>263</v>
      </c>
      <c r="B42" s="30"/>
      <c r="C42" s="30"/>
      <c r="D42" s="30"/>
      <c r="E42" s="327"/>
      <c r="F42" s="327"/>
      <c r="G42" s="327"/>
      <c r="H42" s="327">
        <f t="shared" ref="H42:AA42" si="9">H40+H41</f>
        <v>361512.38261951588</v>
      </c>
      <c r="I42" s="327">
        <f t="shared" si="9"/>
        <v>355313.2298380172</v>
      </c>
      <c r="J42" s="327">
        <f t="shared" si="9"/>
        <v>362508.11265405128</v>
      </c>
      <c r="K42" s="327">
        <f t="shared" si="9"/>
        <v>369137.99633234495</v>
      </c>
      <c r="L42" s="327">
        <f t="shared" si="9"/>
        <v>392274.77421300742</v>
      </c>
      <c r="M42" s="327">
        <f t="shared" si="9"/>
        <v>407786.06111908215</v>
      </c>
      <c r="N42" s="327">
        <f t="shared" si="9"/>
        <v>408987.44424901379</v>
      </c>
      <c r="O42" s="327">
        <f t="shared" si="9"/>
        <v>412368.1081558502</v>
      </c>
      <c r="P42" s="327">
        <f t="shared" si="9"/>
        <v>412966.44496947166</v>
      </c>
      <c r="Q42" s="327">
        <f t="shared" si="9"/>
        <v>415549.21247506503</v>
      </c>
      <c r="R42" s="327">
        <f t="shared" si="9"/>
        <v>417995.97724002664</v>
      </c>
      <c r="S42" s="327">
        <f t="shared" si="9"/>
        <v>415175.03882060439</v>
      </c>
      <c r="T42" s="327">
        <f t="shared" si="9"/>
        <v>411713.54853632848</v>
      </c>
      <c r="U42" s="327">
        <f t="shared" si="9"/>
        <v>410291.78144375491</v>
      </c>
      <c r="V42" s="327">
        <f t="shared" si="9"/>
        <v>406767.87661681429</v>
      </c>
      <c r="W42" s="327">
        <f t="shared" si="9"/>
        <v>405936.90832342097</v>
      </c>
      <c r="X42" s="327">
        <f t="shared" si="9"/>
        <v>403626.60697934392</v>
      </c>
      <c r="Y42" s="327">
        <f t="shared" si="9"/>
        <v>404044.14831815695</v>
      </c>
      <c r="Z42" s="327">
        <f t="shared" si="9"/>
        <v>401947.84080856497</v>
      </c>
      <c r="AA42" s="327">
        <f t="shared" si="9"/>
        <v>401231.32917559083</v>
      </c>
    </row>
    <row r="43" spans="1:27" x14ac:dyDescent="0.2">
      <c r="A43" s="60" t="s">
        <v>262</v>
      </c>
      <c r="B43" s="33"/>
      <c r="C43" s="33"/>
      <c r="D43" s="33"/>
      <c r="E43" s="189"/>
      <c r="F43" s="189"/>
      <c r="G43" s="189"/>
      <c r="H43" s="189">
        <f t="shared" ref="H43:AA43" si="10">H25</f>
        <v>174156.14200000002</v>
      </c>
      <c r="I43" s="189">
        <f t="shared" si="10"/>
        <v>178760.02412576062</v>
      </c>
      <c r="J43" s="189">
        <f t="shared" si="10"/>
        <v>184030.61299600024</v>
      </c>
      <c r="K43" s="189">
        <f t="shared" si="10"/>
        <v>193447.27073471973</v>
      </c>
      <c r="L43" s="189">
        <f t="shared" si="10"/>
        <v>204874.19378733347</v>
      </c>
      <c r="M43" s="189">
        <f t="shared" si="10"/>
        <v>210836.69542240034</v>
      </c>
      <c r="N43" s="189">
        <f t="shared" si="10"/>
        <v>217302.02354400011</v>
      </c>
      <c r="O43" s="189">
        <f t="shared" si="10"/>
        <v>224072.12569563996</v>
      </c>
      <c r="P43" s="189">
        <f t="shared" si="10"/>
        <v>226644.8105301802</v>
      </c>
      <c r="Q43" s="189">
        <f t="shared" si="10"/>
        <v>231376.40231936035</v>
      </c>
      <c r="R43" s="189">
        <f t="shared" si="10"/>
        <v>235801.84108583978</v>
      </c>
      <c r="S43" s="189">
        <f t="shared" si="10"/>
        <v>240673.61307455998</v>
      </c>
      <c r="T43" s="189">
        <f t="shared" si="10"/>
        <v>242662.47306682731</v>
      </c>
      <c r="U43" s="189">
        <f t="shared" si="10"/>
        <v>245603.71546279985</v>
      </c>
      <c r="V43" s="189">
        <f t="shared" si="10"/>
        <v>247587.16278879988</v>
      </c>
      <c r="W43" s="189">
        <f t="shared" si="10"/>
        <v>250255.95054625254</v>
      </c>
      <c r="X43" s="189">
        <f t="shared" si="10"/>
        <v>252762.29920081087</v>
      </c>
      <c r="Y43" s="189">
        <f t="shared" si="10"/>
        <v>256089.2158376126</v>
      </c>
      <c r="Z43" s="189">
        <f t="shared" si="10"/>
        <v>258596.85734728209</v>
      </c>
      <c r="AA43" s="189">
        <f t="shared" si="10"/>
        <v>261587.18989522118</v>
      </c>
    </row>
    <row r="44" spans="1:27" s="24" customFormat="1" x14ac:dyDescent="0.2">
      <c r="A44" s="328" t="s">
        <v>71</v>
      </c>
      <c r="B44" s="114"/>
      <c r="C44" s="114"/>
      <c r="D44" s="114"/>
      <c r="E44" s="329"/>
      <c r="F44" s="329"/>
      <c r="G44" s="329"/>
      <c r="H44" s="329">
        <f>SUM(H42:H43)</f>
        <v>535668.52461951587</v>
      </c>
      <c r="I44" s="329">
        <f t="shared" ref="I44:AA44" si="11">SUM(I42:I43)</f>
        <v>534073.2539637778</v>
      </c>
      <c r="J44" s="329">
        <f t="shared" si="11"/>
        <v>546538.72565005149</v>
      </c>
      <c r="K44" s="329">
        <f t="shared" si="11"/>
        <v>562585.26706706465</v>
      </c>
      <c r="L44" s="329">
        <f t="shared" si="11"/>
        <v>597148.96800034086</v>
      </c>
      <c r="M44" s="329">
        <f t="shared" si="11"/>
        <v>618622.75654148252</v>
      </c>
      <c r="N44" s="329">
        <f t="shared" si="11"/>
        <v>626289.4677930139</v>
      </c>
      <c r="O44" s="329">
        <f t="shared" si="11"/>
        <v>636440.23385149019</v>
      </c>
      <c r="P44" s="329">
        <f t="shared" si="11"/>
        <v>639611.25549965189</v>
      </c>
      <c r="Q44" s="329">
        <f t="shared" si="11"/>
        <v>646925.61479442543</v>
      </c>
      <c r="R44" s="329">
        <f t="shared" si="11"/>
        <v>653797.81832586648</v>
      </c>
      <c r="S44" s="329">
        <f t="shared" si="11"/>
        <v>655848.6518951644</v>
      </c>
      <c r="T44" s="329">
        <f t="shared" si="11"/>
        <v>654376.02160315576</v>
      </c>
      <c r="U44" s="329">
        <f t="shared" si="11"/>
        <v>655895.49690655479</v>
      </c>
      <c r="V44" s="329">
        <f t="shared" si="11"/>
        <v>654355.03940561414</v>
      </c>
      <c r="W44" s="329">
        <f t="shared" si="11"/>
        <v>656192.85886967345</v>
      </c>
      <c r="X44" s="329">
        <f t="shared" si="11"/>
        <v>656388.90618015477</v>
      </c>
      <c r="Y44" s="329">
        <f t="shared" si="11"/>
        <v>660133.36415576958</v>
      </c>
      <c r="Z44" s="329">
        <f t="shared" si="11"/>
        <v>660544.69815584703</v>
      </c>
      <c r="AA44" s="329">
        <f t="shared" si="11"/>
        <v>662818.51907081204</v>
      </c>
    </row>
    <row r="45" spans="1:27" s="28" customFormat="1" x14ac:dyDescent="0.2">
      <c r="A45" s="305" t="s">
        <v>269</v>
      </c>
      <c r="B45" s="290"/>
      <c r="C45" s="290"/>
      <c r="D45" s="290"/>
      <c r="E45" s="304"/>
      <c r="F45" s="304"/>
      <c r="G45" s="304"/>
      <c r="H45" s="304">
        <f>$C$9*$I$9*730*Assumptions!E$42</f>
        <v>1024044</v>
      </c>
      <c r="I45" s="304">
        <f>$C$9*$I$9*730*Assumptions!F$42</f>
        <v>1000082.9296000079</v>
      </c>
      <c r="J45" s="304">
        <f>$C$9*$I$9*730*Assumptions!G$42</f>
        <v>1033815.716000003</v>
      </c>
      <c r="K45" s="304">
        <f>$C$9*$I$9*730*Assumptions!H$42</f>
        <v>1119181.7491999967</v>
      </c>
      <c r="L45" s="304">
        <f>$C$9*$I$9*730*Assumptions!I$42</f>
        <v>1176239.6803333345</v>
      </c>
      <c r="M45" s="304">
        <f>$C$9*$I$9*730*Assumptions!J$42</f>
        <v>1194156.392000004</v>
      </c>
      <c r="N45" s="304">
        <f>$C$9*$I$9*730*Assumptions!K$42</f>
        <v>1264266.4672000012</v>
      </c>
      <c r="O45" s="304">
        <f>$C$9*$I$9*730*Assumptions!L$42</f>
        <v>1328354.4715999993</v>
      </c>
      <c r="P45" s="304">
        <f>$C$9*$I$9*730*Assumptions!M$42</f>
        <v>1355822.5365081951</v>
      </c>
      <c r="Q45" s="304">
        <f>$C$9*$I$9*730*Assumptions!N$42</f>
        <v>1400941.854800004</v>
      </c>
      <c r="R45" s="304">
        <f>$C$9*$I$9*730*Assumptions!O$42</f>
        <v>1442281.7875999974</v>
      </c>
      <c r="S45" s="304">
        <f>$C$9*$I$9*730*Assumptions!P$42</f>
        <v>1506358.5295999998</v>
      </c>
      <c r="T45" s="304">
        <f>$C$9*$I$9*730*Assumptions!Q$42</f>
        <v>1537630.4661912567</v>
      </c>
      <c r="U45" s="304">
        <f>$C$9*$I$9*730*Assumptions!R$42</f>
        <v>1575449.051999998</v>
      </c>
      <c r="V45" s="304">
        <f>$C$9*$I$9*730*Assumptions!S$42</f>
        <v>1608305.0331999986</v>
      </c>
      <c r="W45" s="304">
        <f>$C$9*$I$9*730*Assumptions!T$42</f>
        <v>1640795.6069708983</v>
      </c>
      <c r="X45" s="304">
        <f>$C$9*$I$9*730*Assumptions!U$42</f>
        <v>1673943.6959716252</v>
      </c>
      <c r="Y45" s="304">
        <f>$C$9*$I$9*730*Assumptions!V$42</f>
        <v>1707760.377222898</v>
      </c>
      <c r="Z45" s="304">
        <f>$C$9*$I$9*730*Assumptions!W$42</f>
        <v>1742261.7437548172</v>
      </c>
      <c r="AA45" s="304">
        <f>$C$9*$I$9*730*Assumptions!X$42</f>
        <v>1777458.0365865384</v>
      </c>
    </row>
    <row r="46" spans="1:27" s="330" customFormat="1" x14ac:dyDescent="0.2">
      <c r="A46" s="26" t="s">
        <v>270</v>
      </c>
      <c r="B46" s="30"/>
      <c r="C46" s="30"/>
      <c r="D46" s="30"/>
      <c r="E46" s="327"/>
      <c r="F46" s="327"/>
      <c r="G46" s="327"/>
      <c r="H46" s="327">
        <f>H44+H45</f>
        <v>1559712.524619516</v>
      </c>
      <c r="I46" s="327">
        <f t="shared" ref="I46:AA46" si="12">I44+I45</f>
        <v>1534156.1835637856</v>
      </c>
      <c r="J46" s="327">
        <f t="shared" si="12"/>
        <v>1580354.4416500544</v>
      </c>
      <c r="K46" s="327">
        <f t="shared" si="12"/>
        <v>1681767.0162670612</v>
      </c>
      <c r="L46" s="327">
        <f t="shared" si="12"/>
        <v>1773388.6483336752</v>
      </c>
      <c r="M46" s="327">
        <f t="shared" si="12"/>
        <v>1812779.1485414864</v>
      </c>
      <c r="N46" s="327">
        <f t="shared" si="12"/>
        <v>1890555.9349930151</v>
      </c>
      <c r="O46" s="327">
        <f t="shared" si="12"/>
        <v>1964794.7054514894</v>
      </c>
      <c r="P46" s="327">
        <f t="shared" si="12"/>
        <v>1995433.792007847</v>
      </c>
      <c r="Q46" s="327">
        <f t="shared" si="12"/>
        <v>2047867.4695944295</v>
      </c>
      <c r="R46" s="327">
        <f t="shared" si="12"/>
        <v>2096079.6059258638</v>
      </c>
      <c r="S46" s="327">
        <f t="shared" si="12"/>
        <v>2162207.1814951641</v>
      </c>
      <c r="T46" s="327">
        <f t="shared" si="12"/>
        <v>2192006.4877944123</v>
      </c>
      <c r="U46" s="327">
        <f t="shared" si="12"/>
        <v>2231344.5489065526</v>
      </c>
      <c r="V46" s="327">
        <f t="shared" si="12"/>
        <v>2262660.0726056127</v>
      </c>
      <c r="W46" s="327">
        <f t="shared" si="12"/>
        <v>2296988.4658405716</v>
      </c>
      <c r="X46" s="327">
        <f t="shared" si="12"/>
        <v>2330332.6021517799</v>
      </c>
      <c r="Y46" s="327">
        <f t="shared" si="12"/>
        <v>2367893.7413786678</v>
      </c>
      <c r="Z46" s="327">
        <f t="shared" si="12"/>
        <v>2402806.4419106641</v>
      </c>
      <c r="AA46" s="327">
        <f t="shared" si="12"/>
        <v>2440276.5556573505</v>
      </c>
    </row>
    <row r="47" spans="1:27"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row>
    <row r="48" spans="1:27" x14ac:dyDescent="0.2">
      <c r="A48" s="110" t="s">
        <v>358</v>
      </c>
      <c r="B48" s="110"/>
      <c r="C48" s="110"/>
      <c r="D48" s="110"/>
      <c r="E48" s="111"/>
      <c r="F48" s="111"/>
      <c r="G48" s="111"/>
      <c r="H48" s="111">
        <f t="shared" ref="H48:AA48" si="13">H16</f>
        <v>2020</v>
      </c>
      <c r="I48" s="111">
        <f t="shared" si="13"/>
        <v>2021</v>
      </c>
      <c r="J48" s="111">
        <f t="shared" si="13"/>
        <v>2022</v>
      </c>
      <c r="K48" s="111">
        <f t="shared" si="13"/>
        <v>2023</v>
      </c>
      <c r="L48" s="111">
        <f t="shared" si="13"/>
        <v>2024</v>
      </c>
      <c r="M48" s="111">
        <f t="shared" si="13"/>
        <v>2025</v>
      </c>
      <c r="N48" s="111">
        <f t="shared" si="13"/>
        <v>2026</v>
      </c>
      <c r="O48" s="111">
        <f t="shared" si="13"/>
        <v>2027</v>
      </c>
      <c r="P48" s="111">
        <f t="shared" si="13"/>
        <v>2028</v>
      </c>
      <c r="Q48" s="111">
        <f t="shared" si="13"/>
        <v>2029</v>
      </c>
      <c r="R48" s="111">
        <f t="shared" si="13"/>
        <v>2030</v>
      </c>
      <c r="S48" s="111">
        <f t="shared" si="13"/>
        <v>2031</v>
      </c>
      <c r="T48" s="111">
        <f t="shared" si="13"/>
        <v>2032</v>
      </c>
      <c r="U48" s="111">
        <f t="shared" si="13"/>
        <v>2033</v>
      </c>
      <c r="V48" s="111">
        <f t="shared" si="13"/>
        <v>2034</v>
      </c>
      <c r="W48" s="111">
        <f t="shared" si="13"/>
        <v>2035</v>
      </c>
      <c r="X48" s="111">
        <f t="shared" si="13"/>
        <v>2036</v>
      </c>
      <c r="Y48" s="111">
        <f t="shared" si="13"/>
        <v>2037</v>
      </c>
      <c r="Z48" s="111">
        <f t="shared" si="13"/>
        <v>2038</v>
      </c>
      <c r="AA48" s="111">
        <f t="shared" si="13"/>
        <v>2039</v>
      </c>
    </row>
    <row r="49" spans="1:27" x14ac:dyDescent="0.2">
      <c r="A49" s="61" t="s">
        <v>267</v>
      </c>
      <c r="B49" s="33"/>
      <c r="C49" s="33"/>
      <c r="D49" s="33"/>
      <c r="E49" s="189"/>
      <c r="F49" s="189"/>
      <c r="G49" s="189"/>
      <c r="H49" s="189">
        <f>$F$9*Rates!E131</f>
        <v>145502.079416844</v>
      </c>
      <c r="I49" s="189">
        <f>$F$9*Rates!F131</f>
        <v>140260.79057034064</v>
      </c>
      <c r="J49" s="189">
        <f>$F$9*Rates!G131</f>
        <v>143100.98864655063</v>
      </c>
      <c r="K49" s="189">
        <f>$F$9*Rates!H131</f>
        <v>145718.15189299325</v>
      </c>
      <c r="L49" s="189">
        <f>$F$9*Rates!I131</f>
        <v>154851.45311645605</v>
      </c>
      <c r="M49" s="189">
        <f>$F$9*Rates!J131</f>
        <v>160974.57261077169</v>
      </c>
      <c r="N49" s="189">
        <f>$F$9*Rates!K131</f>
        <v>161448.82162102923</v>
      </c>
      <c r="O49" s="189">
        <f>$F$9*Rates!L131</f>
        <v>162783.34719566561</v>
      </c>
      <c r="P49" s="189">
        <f>$F$9*Rates!M131</f>
        <v>163019.54215678244</v>
      </c>
      <c r="Q49" s="189">
        <f>$F$9*Rates!N131</f>
        <v>164039.09612148863</v>
      </c>
      <c r="R49" s="189">
        <f>$F$9*Rates!O131</f>
        <v>165004.96266248298</v>
      </c>
      <c r="S49" s="189">
        <f>$F$9*Rates!P131</f>
        <v>163891.39013089222</v>
      </c>
      <c r="T49" s="189">
        <f>$F$9*Rates!Q131</f>
        <v>162524.95814060172</v>
      </c>
      <c r="U49" s="189">
        <f>$F$9*Rates!R131</f>
        <v>161963.71200714877</v>
      </c>
      <c r="V49" s="189">
        <f>$F$9*Rates!S131</f>
        <v>160572.64171926037</v>
      </c>
      <c r="W49" s="189">
        <f>$F$9*Rates!T131</f>
        <v>160244.61489677656</v>
      </c>
      <c r="X49" s="189">
        <f>$F$9*Rates!U131</f>
        <v>159332.61763418184</v>
      </c>
      <c r="Y49" s="189">
        <f>$F$9*Rates!V131</f>
        <v>159497.44312718249</v>
      </c>
      <c r="Z49" s="189">
        <f>$F$9*Rates!W131</f>
        <v>158669.92046863146</v>
      </c>
      <c r="AA49" s="189">
        <f>$F$9*Rates!X131</f>
        <v>158387.07570053876</v>
      </c>
    </row>
    <row r="50" spans="1:27" x14ac:dyDescent="0.2">
      <c r="A50" s="61" t="s">
        <v>268</v>
      </c>
      <c r="B50" s="33"/>
      <c r="C50" s="33"/>
      <c r="D50" s="33"/>
      <c r="E50" s="189"/>
      <c r="F50" s="189"/>
      <c r="G50" s="189"/>
      <c r="H50" s="189">
        <f>$C$9*$F$11*Rates!E130</f>
        <v>196814.12239910374</v>
      </c>
      <c r="I50" s="189">
        <f>$C$9*$F$11*Rates!F130</f>
        <v>189724.46657632003</v>
      </c>
      <c r="J50" s="189">
        <f>$C$9*$F$11*Rates!G130</f>
        <v>193566.27484496657</v>
      </c>
      <c r="K50" s="189">
        <f>$C$9*$F$11*Rates!H130</f>
        <v>197106.39392497027</v>
      </c>
      <c r="L50" s="189">
        <f>$C$9*$F$11*Rates!I130</f>
        <v>209460.59994117927</v>
      </c>
      <c r="M50" s="189">
        <f>$C$9*$F$11*Rates!J130</f>
        <v>217743.06844230689</v>
      </c>
      <c r="N50" s="189">
        <f>$C$9*$F$11*Rates!K130</f>
        <v>218384.56376063201</v>
      </c>
      <c r="O50" s="189">
        <f>$C$9*$F$11*Rates!L130</f>
        <v>220189.71651751292</v>
      </c>
      <c r="P50" s="189">
        <f>$C$9*$F$11*Rates!M130</f>
        <v>220509.20682427427</v>
      </c>
      <c r="Q50" s="189">
        <f>$C$9*$F$11*Rates!N130</f>
        <v>221888.3116426137</v>
      </c>
      <c r="R50" s="189">
        <f>$C$9*$F$11*Rates!O130</f>
        <v>223194.79589618824</v>
      </c>
      <c r="S50" s="189">
        <f>$C$9*$F$11*Rates!P130</f>
        <v>221688.51638862939</v>
      </c>
      <c r="T50" s="189">
        <f>$C$9*$F$11*Rates!Q130</f>
        <v>219840.20525751068</v>
      </c>
      <c r="U50" s="189">
        <f>$C$9*$F$11*Rates!R130</f>
        <v>219081.0328412253</v>
      </c>
      <c r="V50" s="189">
        <f>$C$9*$F$11*Rates!S130</f>
        <v>217199.39459245582</v>
      </c>
      <c r="W50" s="189">
        <f>$C$9*$F$11*Rates!T130</f>
        <v>216755.68745473473</v>
      </c>
      <c r="X50" s="189">
        <f>$C$9*$F$11*Rates!U130</f>
        <v>215522.06975258669</v>
      </c>
      <c r="Y50" s="189">
        <f>$C$9*$F$11*Rates!V130</f>
        <v>215745.02178793863</v>
      </c>
      <c r="Z50" s="189">
        <f>$C$9*$F$11*Rates!W130</f>
        <v>214625.66908548342</v>
      </c>
      <c r="AA50" s="189">
        <f>$C$9*$F$11*Rates!X130</f>
        <v>214243.07768176976</v>
      </c>
    </row>
    <row r="51" spans="1:27" s="24" customFormat="1" x14ac:dyDescent="0.2">
      <c r="A51" s="26" t="s">
        <v>263</v>
      </c>
      <c r="B51" s="30"/>
      <c r="C51" s="30"/>
      <c r="D51" s="30"/>
      <c r="E51" s="327"/>
      <c r="F51" s="327"/>
      <c r="G51" s="327"/>
      <c r="H51" s="327">
        <f>H50+H49</f>
        <v>342316.20181594777</v>
      </c>
      <c r="I51" s="327">
        <f t="shared" ref="I51:AA51" si="14">I50+I49</f>
        <v>329985.2571466607</v>
      </c>
      <c r="J51" s="327">
        <f t="shared" si="14"/>
        <v>336667.26349151717</v>
      </c>
      <c r="K51" s="327">
        <f t="shared" si="14"/>
        <v>342824.54581796355</v>
      </c>
      <c r="L51" s="327">
        <f t="shared" si="14"/>
        <v>364312.05305763532</v>
      </c>
      <c r="M51" s="327">
        <f t="shared" si="14"/>
        <v>378717.64105307858</v>
      </c>
      <c r="N51" s="327">
        <f t="shared" si="14"/>
        <v>379833.38538166124</v>
      </c>
      <c r="O51" s="327">
        <f t="shared" si="14"/>
        <v>382973.0637131785</v>
      </c>
      <c r="P51" s="327">
        <f t="shared" si="14"/>
        <v>383528.74898105673</v>
      </c>
      <c r="Q51" s="327">
        <f t="shared" si="14"/>
        <v>385927.40776410233</v>
      </c>
      <c r="R51" s="327">
        <f t="shared" si="14"/>
        <v>388199.75855867122</v>
      </c>
      <c r="S51" s="327">
        <f t="shared" si="14"/>
        <v>385579.90651952161</v>
      </c>
      <c r="T51" s="327">
        <f t="shared" si="14"/>
        <v>382365.1633981124</v>
      </c>
      <c r="U51" s="327">
        <f t="shared" si="14"/>
        <v>381044.74484837404</v>
      </c>
      <c r="V51" s="327">
        <f t="shared" si="14"/>
        <v>377772.03631171619</v>
      </c>
      <c r="W51" s="327">
        <f t="shared" si="14"/>
        <v>377000.30235151132</v>
      </c>
      <c r="X51" s="327">
        <f t="shared" si="14"/>
        <v>374854.68738676852</v>
      </c>
      <c r="Y51" s="327">
        <f t="shared" si="14"/>
        <v>375242.46491512109</v>
      </c>
      <c r="Z51" s="327">
        <f t="shared" si="14"/>
        <v>373295.58955411485</v>
      </c>
      <c r="AA51" s="327">
        <f t="shared" si="14"/>
        <v>372630.15338230855</v>
      </c>
    </row>
    <row r="52" spans="1:27" x14ac:dyDescent="0.2">
      <c r="A52" s="60" t="s">
        <v>262</v>
      </c>
      <c r="B52" s="33"/>
      <c r="C52" s="33"/>
      <c r="D52" s="33"/>
      <c r="E52" s="189"/>
      <c r="F52" s="189"/>
      <c r="G52" s="189"/>
      <c r="H52" s="189">
        <f t="shared" ref="H52:AA52" si="15">H25</f>
        <v>174156.14200000002</v>
      </c>
      <c r="I52" s="189">
        <f t="shared" si="15"/>
        <v>178760.02412576062</v>
      </c>
      <c r="J52" s="189">
        <f t="shared" si="15"/>
        <v>184030.61299600024</v>
      </c>
      <c r="K52" s="189">
        <f t="shared" si="15"/>
        <v>193447.27073471973</v>
      </c>
      <c r="L52" s="189">
        <f t="shared" si="15"/>
        <v>204874.19378733347</v>
      </c>
      <c r="M52" s="189">
        <f t="shared" si="15"/>
        <v>210836.69542240034</v>
      </c>
      <c r="N52" s="189">
        <f t="shared" si="15"/>
        <v>217302.02354400011</v>
      </c>
      <c r="O52" s="189">
        <f t="shared" si="15"/>
        <v>224072.12569563996</v>
      </c>
      <c r="P52" s="189">
        <f t="shared" si="15"/>
        <v>226644.8105301802</v>
      </c>
      <c r="Q52" s="189">
        <f t="shared" si="15"/>
        <v>231376.40231936035</v>
      </c>
      <c r="R52" s="189">
        <f t="shared" si="15"/>
        <v>235801.84108583978</v>
      </c>
      <c r="S52" s="189">
        <f t="shared" si="15"/>
        <v>240673.61307455998</v>
      </c>
      <c r="T52" s="189">
        <f t="shared" si="15"/>
        <v>242662.47306682731</v>
      </c>
      <c r="U52" s="189">
        <f t="shared" si="15"/>
        <v>245603.71546279985</v>
      </c>
      <c r="V52" s="189">
        <f t="shared" si="15"/>
        <v>247587.16278879988</v>
      </c>
      <c r="W52" s="189">
        <f t="shared" si="15"/>
        <v>250255.95054625254</v>
      </c>
      <c r="X52" s="189">
        <f t="shared" si="15"/>
        <v>252762.29920081087</v>
      </c>
      <c r="Y52" s="189">
        <f t="shared" si="15"/>
        <v>256089.2158376126</v>
      </c>
      <c r="Z52" s="189">
        <f t="shared" si="15"/>
        <v>258596.85734728209</v>
      </c>
      <c r="AA52" s="189">
        <f t="shared" si="15"/>
        <v>261587.18989522118</v>
      </c>
    </row>
    <row r="53" spans="1:27" s="24" customFormat="1" x14ac:dyDescent="0.2">
      <c r="A53" s="328" t="s">
        <v>71</v>
      </c>
      <c r="B53" s="114"/>
      <c r="C53" s="114"/>
      <c r="D53" s="114"/>
      <c r="E53" s="329"/>
      <c r="F53" s="329"/>
      <c r="G53" s="329"/>
      <c r="H53" s="329">
        <f>SUM(H51:H52)</f>
        <v>516472.34381594777</v>
      </c>
      <c r="I53" s="329">
        <f t="shared" ref="I53:AA53" si="16">SUM(I51:I52)</f>
        <v>508745.28127242136</v>
      </c>
      <c r="J53" s="329">
        <f t="shared" si="16"/>
        <v>520697.87648751738</v>
      </c>
      <c r="K53" s="329">
        <f t="shared" si="16"/>
        <v>536271.81655268325</v>
      </c>
      <c r="L53" s="329">
        <f t="shared" si="16"/>
        <v>569186.24684496876</v>
      </c>
      <c r="M53" s="329">
        <f t="shared" si="16"/>
        <v>589554.33647547895</v>
      </c>
      <c r="N53" s="329">
        <f t="shared" si="16"/>
        <v>597135.40892566135</v>
      </c>
      <c r="O53" s="329">
        <f t="shared" si="16"/>
        <v>607045.18940881849</v>
      </c>
      <c r="P53" s="329">
        <f t="shared" si="16"/>
        <v>610173.55951123696</v>
      </c>
      <c r="Q53" s="329">
        <f t="shared" si="16"/>
        <v>617303.81008346262</v>
      </c>
      <c r="R53" s="329">
        <f t="shared" si="16"/>
        <v>624001.59964451101</v>
      </c>
      <c r="S53" s="329">
        <f t="shared" si="16"/>
        <v>626253.51959408156</v>
      </c>
      <c r="T53" s="329">
        <f t="shared" si="16"/>
        <v>625027.63646493969</v>
      </c>
      <c r="U53" s="329">
        <f t="shared" si="16"/>
        <v>626648.46031117393</v>
      </c>
      <c r="V53" s="329">
        <f t="shared" si="16"/>
        <v>625359.19910051604</v>
      </c>
      <c r="W53" s="329">
        <f t="shared" si="16"/>
        <v>627256.25289776386</v>
      </c>
      <c r="X53" s="329">
        <f t="shared" si="16"/>
        <v>627616.98658757936</v>
      </c>
      <c r="Y53" s="329">
        <f t="shared" si="16"/>
        <v>631331.68075273372</v>
      </c>
      <c r="Z53" s="329">
        <f t="shared" si="16"/>
        <v>631892.44690139696</v>
      </c>
      <c r="AA53" s="329">
        <f t="shared" si="16"/>
        <v>634217.3432775297</v>
      </c>
    </row>
    <row r="54" spans="1:27" x14ac:dyDescent="0.2">
      <c r="A54" s="305" t="s">
        <v>269</v>
      </c>
      <c r="B54" s="290"/>
      <c r="C54" s="290"/>
      <c r="D54" s="290"/>
      <c r="E54" s="304"/>
      <c r="F54" s="304"/>
      <c r="G54" s="304"/>
      <c r="H54" s="304">
        <f>$C$9*$I$9*730*Assumptions!E$42</f>
        <v>1024044</v>
      </c>
      <c r="I54" s="304">
        <f>$C$9*$I$9*730*Assumptions!F$42</f>
        <v>1000082.9296000079</v>
      </c>
      <c r="J54" s="304">
        <f>$C$9*$I$9*730*Assumptions!G$42</f>
        <v>1033815.716000003</v>
      </c>
      <c r="K54" s="304">
        <f>$C$9*$I$9*730*Assumptions!H$42</f>
        <v>1119181.7491999967</v>
      </c>
      <c r="L54" s="304">
        <f>$C$9*$I$9*730*Assumptions!I$42</f>
        <v>1176239.6803333345</v>
      </c>
      <c r="M54" s="304">
        <f>$C$9*$I$9*730*Assumptions!J$42</f>
        <v>1194156.392000004</v>
      </c>
      <c r="N54" s="304">
        <f>$C$9*$I$9*730*Assumptions!K$42</f>
        <v>1264266.4672000012</v>
      </c>
      <c r="O54" s="304">
        <f>$C$9*$I$9*730*Assumptions!L$42</f>
        <v>1328354.4715999993</v>
      </c>
      <c r="P54" s="304">
        <f>$C$9*$I$9*730*Assumptions!M$42</f>
        <v>1355822.5365081951</v>
      </c>
      <c r="Q54" s="304">
        <f>$C$9*$I$9*730*Assumptions!N$42</f>
        <v>1400941.854800004</v>
      </c>
      <c r="R54" s="304">
        <f>$C$9*$I$9*730*Assumptions!O$42</f>
        <v>1442281.7875999974</v>
      </c>
      <c r="S54" s="304">
        <f>$C$9*$I$9*730*Assumptions!P$42</f>
        <v>1506358.5295999998</v>
      </c>
      <c r="T54" s="304">
        <f>$C$9*$I$9*730*Assumptions!Q$42</f>
        <v>1537630.4661912567</v>
      </c>
      <c r="U54" s="304">
        <f>$C$9*$I$9*730*Assumptions!R$42</f>
        <v>1575449.051999998</v>
      </c>
      <c r="V54" s="304">
        <f>$C$9*$I$9*730*Assumptions!S$42</f>
        <v>1608305.0331999986</v>
      </c>
      <c r="W54" s="304">
        <f>$C$9*$I$9*730*Assumptions!T$42</f>
        <v>1640795.6069708983</v>
      </c>
      <c r="X54" s="304">
        <f>$C$9*$I$9*730*Assumptions!U$42</f>
        <v>1673943.6959716252</v>
      </c>
      <c r="Y54" s="304">
        <f>$C$9*$I$9*730*Assumptions!V$42</f>
        <v>1707760.377222898</v>
      </c>
      <c r="Z54" s="304">
        <f>$C$9*$I$9*730*Assumptions!W$42</f>
        <v>1742261.7437548172</v>
      </c>
      <c r="AA54" s="304">
        <f>$C$9*$I$9*730*Assumptions!X$42</f>
        <v>1777458.0365865384</v>
      </c>
    </row>
    <row r="55" spans="1:27" s="24" customFormat="1" x14ac:dyDescent="0.2">
      <c r="A55" s="26" t="s">
        <v>270</v>
      </c>
      <c r="B55" s="30"/>
      <c r="C55" s="30"/>
      <c r="D55" s="30"/>
      <c r="E55" s="327"/>
      <c r="F55" s="327"/>
      <c r="G55" s="327"/>
      <c r="H55" s="327">
        <f>H53+H54</f>
        <v>1540516.3438159479</v>
      </c>
      <c r="I55" s="327">
        <f t="shared" ref="I55:AA55" si="17">I53+I54</f>
        <v>1508828.2108724294</v>
      </c>
      <c r="J55" s="327">
        <f t="shared" si="17"/>
        <v>1554513.5924875205</v>
      </c>
      <c r="K55" s="327">
        <f t="shared" si="17"/>
        <v>1655453.5657526799</v>
      </c>
      <c r="L55" s="327">
        <f t="shared" si="17"/>
        <v>1745425.9271783032</v>
      </c>
      <c r="M55" s="327">
        <f t="shared" si="17"/>
        <v>1783710.7284754829</v>
      </c>
      <c r="N55" s="327">
        <f t="shared" si="17"/>
        <v>1861401.8761256626</v>
      </c>
      <c r="O55" s="327">
        <f t="shared" si="17"/>
        <v>1935399.6610088178</v>
      </c>
      <c r="P55" s="327">
        <f t="shared" si="17"/>
        <v>1965996.0960194319</v>
      </c>
      <c r="Q55" s="327">
        <f t="shared" si="17"/>
        <v>2018245.6648834667</v>
      </c>
      <c r="R55" s="327">
        <f t="shared" si="17"/>
        <v>2066283.3872445084</v>
      </c>
      <c r="S55" s="327">
        <f t="shared" si="17"/>
        <v>2132612.0491940812</v>
      </c>
      <c r="T55" s="327">
        <f t="shared" si="17"/>
        <v>2162658.1026561963</v>
      </c>
      <c r="U55" s="327">
        <f t="shared" si="17"/>
        <v>2202097.5123111717</v>
      </c>
      <c r="V55" s="327">
        <f t="shared" si="17"/>
        <v>2233664.2323005144</v>
      </c>
      <c r="W55" s="327">
        <f t="shared" si="17"/>
        <v>2268051.8598686624</v>
      </c>
      <c r="X55" s="327">
        <f t="shared" si="17"/>
        <v>2301560.6825592043</v>
      </c>
      <c r="Y55" s="327">
        <f t="shared" si="17"/>
        <v>2339092.0579756317</v>
      </c>
      <c r="Z55" s="327">
        <f t="shared" si="17"/>
        <v>2374154.190656214</v>
      </c>
      <c r="AA55" s="327">
        <f t="shared" si="17"/>
        <v>2411675.3798640682</v>
      </c>
    </row>
  </sheetData>
  <mergeCells count="1">
    <mergeCell ref="A10:B12"/>
  </mergeCells>
  <pageMargins left="0.5" right="0.5" top="0.75" bottom="0.75" header="0.5" footer="0.25"/>
  <pageSetup paperSize="17"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zoomScale="80" zoomScaleNormal="80" workbookViewId="0">
      <selection activeCell="A6" sqref="A6"/>
    </sheetView>
  </sheetViews>
  <sheetFormatPr defaultColWidth="10.7109375" defaultRowHeight="12.75" x14ac:dyDescent="0.2"/>
  <cols>
    <col min="1" max="2" width="10.7109375" style="2"/>
    <col min="3" max="4" width="10.7109375" style="2" customWidth="1"/>
    <col min="5" max="26" width="10.7109375" style="2"/>
    <col min="27" max="27" width="10.7109375" style="2" customWidth="1"/>
    <col min="28" max="16384" width="10.7109375" style="2"/>
  </cols>
  <sheetData>
    <row r="1" spans="1:9" x14ac:dyDescent="0.2">
      <c r="A1" s="211" t="str">
        <f>Assumptions!A1</f>
        <v>Alberta Electric System Operator</v>
      </c>
      <c r="B1" s="211"/>
      <c r="C1" s="211"/>
      <c r="D1" s="211"/>
    </row>
    <row r="2" spans="1:9" x14ac:dyDescent="0.2">
      <c r="A2" s="211" t="str">
        <f>Assumptions!A2</f>
        <v>Preliminary rates and bill projections</v>
      </c>
      <c r="B2" s="211"/>
      <c r="C2" s="211"/>
      <c r="D2" s="211"/>
    </row>
    <row r="3" spans="1:9" x14ac:dyDescent="0.2">
      <c r="A3" s="211" t="str">
        <f>Assumptions!A3</f>
        <v>For discussion purposes</v>
      </c>
      <c r="B3" s="211"/>
      <c r="C3" s="211"/>
      <c r="D3" s="211"/>
    </row>
    <row r="4" spans="1:9" x14ac:dyDescent="0.2">
      <c r="A4" s="211" t="str">
        <f>Assumptions!A4</f>
        <v>Version 1.0-Conceptual dated March 12, 2020</v>
      </c>
      <c r="B4" s="211"/>
      <c r="C4" s="211"/>
      <c r="D4" s="211"/>
    </row>
    <row r="5" spans="1:9" x14ac:dyDescent="0.2">
      <c r="A5" s="211"/>
      <c r="B5" s="211"/>
      <c r="C5" s="211"/>
      <c r="D5" s="211"/>
    </row>
    <row r="6" spans="1:9" x14ac:dyDescent="0.2">
      <c r="A6" s="211" t="s">
        <v>352</v>
      </c>
      <c r="B6" s="211"/>
      <c r="C6" s="211"/>
      <c r="D6" s="211"/>
    </row>
    <row r="8" spans="1:9" x14ac:dyDescent="0.2">
      <c r="I8" s="198"/>
    </row>
    <row r="9" spans="1:9" x14ac:dyDescent="0.2">
      <c r="I9" s="198"/>
    </row>
    <row r="10" spans="1:9" x14ac:dyDescent="0.2">
      <c r="I10" s="198"/>
    </row>
    <row r="11" spans="1:9" x14ac:dyDescent="0.2">
      <c r="I11" s="198"/>
    </row>
    <row r="12" spans="1:9" x14ac:dyDescent="0.2">
      <c r="I12" s="198"/>
    </row>
    <row r="13" spans="1:9" x14ac:dyDescent="0.2">
      <c r="I13" s="198"/>
    </row>
    <row r="14" spans="1:9" x14ac:dyDescent="0.2">
      <c r="I14" s="198"/>
    </row>
    <row r="15" spans="1:9" x14ac:dyDescent="0.2">
      <c r="I15" s="198"/>
    </row>
    <row r="16" spans="1:9" x14ac:dyDescent="0.2">
      <c r="I16" s="198"/>
    </row>
    <row r="17" spans="9:9" x14ac:dyDescent="0.2">
      <c r="I17" s="198"/>
    </row>
    <row r="18" spans="9:9" x14ac:dyDescent="0.2">
      <c r="I18" s="198"/>
    </row>
    <row r="19" spans="9:9" x14ac:dyDescent="0.2">
      <c r="I19" s="198"/>
    </row>
    <row r="20" spans="9:9" x14ac:dyDescent="0.2">
      <c r="I20" s="198"/>
    </row>
    <row r="21" spans="9:9" x14ac:dyDescent="0.2">
      <c r="I21" s="198"/>
    </row>
    <row r="22" spans="9:9" x14ac:dyDescent="0.2">
      <c r="I22" s="198"/>
    </row>
    <row r="23" spans="9:9" x14ac:dyDescent="0.2">
      <c r="I23" s="198"/>
    </row>
    <row r="24" spans="9:9" x14ac:dyDescent="0.2">
      <c r="I24" s="198"/>
    </row>
    <row r="25" spans="9:9" x14ac:dyDescent="0.2">
      <c r="I25" s="198"/>
    </row>
    <row r="26" spans="9:9" x14ac:dyDescent="0.2">
      <c r="I26" s="198"/>
    </row>
    <row r="27" spans="9:9" x14ac:dyDescent="0.2">
      <c r="I27" s="198"/>
    </row>
    <row r="28" spans="9:9" x14ac:dyDescent="0.2">
      <c r="I28" s="198"/>
    </row>
    <row r="29" spans="9:9" x14ac:dyDescent="0.2">
      <c r="I29" s="198"/>
    </row>
    <row r="30" spans="9:9" x14ac:dyDescent="0.2">
      <c r="I30" s="198"/>
    </row>
  </sheetData>
  <pageMargins left="0.5" right="0.5" top="0.75" bottom="0.75" header="0.5" footer="0.25"/>
  <pageSetup paperSize="17"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133"/>
  <sheetViews>
    <sheetView showGridLines="0" topLeftCell="A105" zoomScale="90" zoomScaleNormal="90" workbookViewId="0">
      <selection activeCell="G141" sqref="G141"/>
    </sheetView>
  </sheetViews>
  <sheetFormatPr defaultColWidth="10.7109375" defaultRowHeight="12.75" x14ac:dyDescent="0.2"/>
  <cols>
    <col min="1" max="1" width="14.85546875" style="52" customWidth="1"/>
    <col min="2" max="2" width="14.28515625" style="52" customWidth="1"/>
    <col min="3" max="3" width="14" style="52" customWidth="1"/>
    <col min="4" max="4" width="11.5703125" style="52" customWidth="1"/>
    <col min="5" max="19" width="10.7109375" style="28" customWidth="1"/>
    <col min="20" max="22" width="12.140625" style="28" bestFit="1" customWidth="1"/>
    <col min="23" max="24" width="10.7109375" style="28" customWidth="1"/>
    <col min="25" max="16384" width="10.7109375" style="28"/>
  </cols>
  <sheetData>
    <row r="1" spans="1:24" x14ac:dyDescent="0.2">
      <c r="A1" s="52" t="str">
        <f>Assumptions!A1</f>
        <v>Alberta Electric System Operator</v>
      </c>
    </row>
    <row r="2" spans="1:24" x14ac:dyDescent="0.2">
      <c r="A2" s="52" t="str">
        <f>Assumptions!A2</f>
        <v>Preliminary rates and bill projections</v>
      </c>
    </row>
    <row r="3" spans="1:24" x14ac:dyDescent="0.2">
      <c r="A3" s="52" t="str">
        <f>Assumptions!A3</f>
        <v>For discussion purposes</v>
      </c>
    </row>
    <row r="4" spans="1:24" x14ac:dyDescent="0.2">
      <c r="A4" s="52" t="str">
        <f>Assumptions!A4</f>
        <v>Version 1.0-Conceptual dated March 12, 2020</v>
      </c>
    </row>
    <row r="5" spans="1:24" s="27" customFormat="1" x14ac:dyDescent="0.2">
      <c r="A5" s="62" t="s">
        <v>39</v>
      </c>
      <c r="B5" s="62"/>
      <c r="C5" s="62"/>
      <c r="D5" s="62"/>
      <c r="E5" s="86"/>
      <c r="F5" s="86"/>
      <c r="G5" s="86"/>
      <c r="H5" s="86"/>
      <c r="I5" s="86"/>
      <c r="J5" s="86"/>
      <c r="K5" s="86"/>
      <c r="L5" s="86"/>
      <c r="M5" s="86"/>
      <c r="N5" s="86"/>
      <c r="O5" s="86"/>
      <c r="P5" s="86"/>
      <c r="Q5" s="86"/>
      <c r="R5" s="86"/>
      <c r="S5" s="86"/>
    </row>
    <row r="6" spans="1:24" s="27" customFormat="1" x14ac:dyDescent="0.2">
      <c r="A6" s="62"/>
      <c r="B6" s="62"/>
      <c r="C6" s="62"/>
      <c r="D6" s="62"/>
      <c r="E6" s="86"/>
      <c r="F6" s="86"/>
      <c r="G6" s="86"/>
      <c r="H6" s="86"/>
      <c r="I6" s="86"/>
      <c r="J6" s="86"/>
      <c r="K6" s="86"/>
      <c r="L6" s="86"/>
      <c r="M6" s="86"/>
      <c r="N6" s="86"/>
      <c r="O6" s="86"/>
      <c r="P6" s="86"/>
      <c r="Q6" s="86"/>
      <c r="R6" s="86"/>
      <c r="S6" s="86"/>
    </row>
    <row r="7" spans="1:24" s="27" customFormat="1" x14ac:dyDescent="0.2">
      <c r="A7" s="64" t="s">
        <v>112</v>
      </c>
      <c r="B7" s="64"/>
      <c r="C7" s="64"/>
      <c r="D7" s="64"/>
      <c r="E7" s="87"/>
      <c r="F7" s="87"/>
      <c r="G7" s="87"/>
      <c r="H7" s="87"/>
      <c r="I7" s="87"/>
      <c r="J7" s="87"/>
      <c r="K7" s="87"/>
      <c r="L7" s="87"/>
      <c r="M7" s="87"/>
      <c r="N7" s="87"/>
      <c r="O7" s="87"/>
      <c r="P7" s="87"/>
      <c r="Q7" s="87"/>
      <c r="R7" s="87"/>
      <c r="S7" s="87"/>
      <c r="T7" s="87"/>
      <c r="U7" s="87"/>
      <c r="V7" s="87"/>
      <c r="W7" s="87"/>
      <c r="X7" s="87"/>
    </row>
    <row r="8" spans="1:24" s="27" customFormat="1" x14ac:dyDescent="0.2">
      <c r="A8" s="62"/>
      <c r="B8" s="62"/>
      <c r="C8" s="62"/>
      <c r="D8" s="62"/>
      <c r="E8" s="86"/>
      <c r="F8" s="86"/>
      <c r="G8" s="86"/>
      <c r="H8" s="86"/>
      <c r="I8" s="86"/>
      <c r="J8" s="86"/>
      <c r="K8" s="86"/>
      <c r="L8" s="86"/>
      <c r="M8" s="86"/>
      <c r="N8" s="86"/>
      <c r="O8" s="86"/>
      <c r="P8" s="86"/>
      <c r="Q8" s="86"/>
      <c r="R8" s="86"/>
      <c r="S8" s="86"/>
      <c r="T8" s="86"/>
      <c r="U8" s="86"/>
      <c r="V8" s="86"/>
      <c r="W8" s="86"/>
      <c r="X8" s="86"/>
    </row>
    <row r="9" spans="1:24" s="52" customFormat="1" x14ac:dyDescent="0.2">
      <c r="A9" s="73" t="s">
        <v>41</v>
      </c>
      <c r="B9" s="74"/>
      <c r="C9" s="74"/>
      <c r="D9" s="74"/>
      <c r="E9" s="75">
        <v>2020</v>
      </c>
      <c r="F9" s="75">
        <f t="shared" ref="F9" si="0">E9+1</f>
        <v>2021</v>
      </c>
      <c r="G9" s="75">
        <f t="shared" ref="G9" si="1">F9+1</f>
        <v>2022</v>
      </c>
      <c r="H9" s="75">
        <f t="shared" ref="H9" si="2">G9+1</f>
        <v>2023</v>
      </c>
      <c r="I9" s="75">
        <f t="shared" ref="I9" si="3">H9+1</f>
        <v>2024</v>
      </c>
      <c r="J9" s="75">
        <f t="shared" ref="J9" si="4">I9+1</f>
        <v>2025</v>
      </c>
      <c r="K9" s="75">
        <f t="shared" ref="K9" si="5">J9+1</f>
        <v>2026</v>
      </c>
      <c r="L9" s="75">
        <f t="shared" ref="L9" si="6">K9+1</f>
        <v>2027</v>
      </c>
      <c r="M9" s="75">
        <f t="shared" ref="M9" si="7">L9+1</f>
        <v>2028</v>
      </c>
      <c r="N9" s="75">
        <f t="shared" ref="N9" si="8">M9+1</f>
        <v>2029</v>
      </c>
      <c r="O9" s="75">
        <f t="shared" ref="O9" si="9">N9+1</f>
        <v>2030</v>
      </c>
      <c r="P9" s="75">
        <f t="shared" ref="P9" si="10">O9+1</f>
        <v>2031</v>
      </c>
      <c r="Q9" s="75">
        <f t="shared" ref="Q9" si="11">P9+1</f>
        <v>2032</v>
      </c>
      <c r="R9" s="75">
        <f t="shared" ref="R9" si="12">Q9+1</f>
        <v>2033</v>
      </c>
      <c r="S9" s="75">
        <f t="shared" ref="S9" si="13">R9+1</f>
        <v>2034</v>
      </c>
      <c r="T9" s="75">
        <f t="shared" ref="T9" si="14">S9+1</f>
        <v>2035</v>
      </c>
      <c r="U9" s="75">
        <f t="shared" ref="U9" si="15">T9+1</f>
        <v>2036</v>
      </c>
      <c r="V9" s="75">
        <f t="shared" ref="V9" si="16">U9+1</f>
        <v>2037</v>
      </c>
      <c r="W9" s="75">
        <f t="shared" ref="W9" si="17">V9+1</f>
        <v>2038</v>
      </c>
      <c r="X9" s="75">
        <f t="shared" ref="X9" si="18">W9+1</f>
        <v>2039</v>
      </c>
    </row>
    <row r="10" spans="1:24" x14ac:dyDescent="0.2">
      <c r="A10" s="8" t="s">
        <v>128</v>
      </c>
      <c r="B10" s="8"/>
      <c r="C10" s="8"/>
      <c r="D10" s="237"/>
      <c r="E10" s="133"/>
      <c r="F10" s="133"/>
      <c r="G10" s="133"/>
      <c r="H10" s="133"/>
      <c r="I10" s="133"/>
      <c r="J10" s="133"/>
      <c r="K10" s="133"/>
      <c r="L10" s="133"/>
      <c r="M10" s="133"/>
      <c r="N10" s="133"/>
      <c r="O10" s="133"/>
      <c r="P10" s="133"/>
      <c r="Q10" s="133"/>
      <c r="R10" s="133"/>
      <c r="S10" s="133"/>
      <c r="T10" s="133"/>
      <c r="U10" s="133"/>
      <c r="V10" s="133"/>
      <c r="W10" s="133"/>
      <c r="X10" s="133"/>
    </row>
    <row r="11" spans="1:24" x14ac:dyDescent="0.2">
      <c r="A11" s="118" t="s">
        <v>204</v>
      </c>
      <c r="B11" s="55"/>
      <c r="C11" s="55"/>
      <c r="D11" s="55"/>
      <c r="E11" s="91">
        <v>1805.3919053863001</v>
      </c>
      <c r="F11" s="91">
        <f>Forecast!F33+Existing!F27+LTP20RevReq!F18</f>
        <v>1861.0036408173603</v>
      </c>
      <c r="G11" s="91">
        <f>Forecast!G33+Existing!G27+LTP20RevReq!G18</f>
        <v>1895.7550357126684</v>
      </c>
      <c r="H11" s="91">
        <f>Forecast!H33+Existing!H27+LTP20RevReq!H18</f>
        <v>1941.2049234349381</v>
      </c>
      <c r="I11" s="91">
        <f>Forecast!I33+Existing!I27+LTP20RevReq!I18</f>
        <v>2075.6917348888578</v>
      </c>
      <c r="J11" s="91">
        <f>Forecast!J33+Existing!J27+LTP20RevReq!J18</f>
        <v>2182.7512072786894</v>
      </c>
      <c r="K11" s="91">
        <f>Forecast!K33+Existing!K27+LTP20RevReq!K18</f>
        <v>2214.5098431903443</v>
      </c>
      <c r="L11" s="91">
        <f>Forecast!L33+Existing!L27+LTP20RevReq!L18</f>
        <v>2245.3259770413838</v>
      </c>
      <c r="M11" s="91">
        <f>Forecast!M33+Existing!M27+LTP20RevReq!M18</f>
        <v>2275.2805141962085</v>
      </c>
      <c r="N11" s="91">
        <f>Forecast!N33+Existing!N27+LTP20RevReq!N18</f>
        <v>2304.5276551752036</v>
      </c>
      <c r="O11" s="91">
        <f>Forecast!O33+Existing!O27+LTP20RevReq!O18</f>
        <v>2328.1010785820627</v>
      </c>
      <c r="P11" s="91">
        <f>Forecast!P33+Existing!P27+LTP20RevReq!P18</f>
        <v>2346.8510926204967</v>
      </c>
      <c r="Q11" s="91">
        <f>Forecast!Q33+Existing!Q27+LTP20RevReq!Q18</f>
        <v>2364.7994359014565</v>
      </c>
      <c r="R11" s="91">
        <f>Forecast!R33+Existing!R27+LTP20RevReq!R18</f>
        <v>2381.9664935441806</v>
      </c>
      <c r="S11" s="91">
        <f>Forecast!S33+Existing!S27+LTP20RevReq!S18</f>
        <v>2398.3376458436401</v>
      </c>
      <c r="T11" s="91">
        <f>Forecast!T33+Existing!T27+LTP20RevReq!T18</f>
        <v>2412.9547283848251</v>
      </c>
      <c r="U11" s="91">
        <f>Forecast!U33+Existing!U27+LTP20RevReq!U18</f>
        <v>2425.9639290871633</v>
      </c>
      <c r="V11" s="91">
        <f>Forecast!V33+Existing!V27+LTP20RevReq!V18</f>
        <v>2438.1823413513571</v>
      </c>
      <c r="W11" s="91">
        <f>Forecast!W33+Existing!W27+LTP20RevReq!W18</f>
        <v>2449.6033371833923</v>
      </c>
      <c r="X11" s="91">
        <f>Forecast!X33+Existing!X27+LTP20RevReq!X18</f>
        <v>2460.3033475403595</v>
      </c>
    </row>
    <row r="12" spans="1:24" x14ac:dyDescent="0.2">
      <c r="A12" s="118" t="s">
        <v>127</v>
      </c>
      <c r="B12" s="55"/>
      <c r="C12" s="55"/>
      <c r="D12" s="55"/>
      <c r="E12" s="91">
        <v>106.541646</v>
      </c>
      <c r="F12" s="91">
        <f>E12</f>
        <v>106.541646</v>
      </c>
      <c r="G12" s="91">
        <f t="shared" ref="G12:V12" si="19">F12</f>
        <v>106.541646</v>
      </c>
      <c r="H12" s="91">
        <f t="shared" si="19"/>
        <v>106.541646</v>
      </c>
      <c r="I12" s="91">
        <f t="shared" si="19"/>
        <v>106.541646</v>
      </c>
      <c r="J12" s="91">
        <f t="shared" si="19"/>
        <v>106.541646</v>
      </c>
      <c r="K12" s="91">
        <f t="shared" si="19"/>
        <v>106.541646</v>
      </c>
      <c r="L12" s="91">
        <f t="shared" si="19"/>
        <v>106.541646</v>
      </c>
      <c r="M12" s="91">
        <f t="shared" si="19"/>
        <v>106.541646</v>
      </c>
      <c r="N12" s="91">
        <f t="shared" si="19"/>
        <v>106.541646</v>
      </c>
      <c r="O12" s="91">
        <f t="shared" si="19"/>
        <v>106.541646</v>
      </c>
      <c r="P12" s="91">
        <f t="shared" si="19"/>
        <v>106.541646</v>
      </c>
      <c r="Q12" s="91">
        <f t="shared" si="19"/>
        <v>106.541646</v>
      </c>
      <c r="R12" s="91">
        <f t="shared" si="19"/>
        <v>106.541646</v>
      </c>
      <c r="S12" s="91">
        <f t="shared" si="19"/>
        <v>106.541646</v>
      </c>
      <c r="T12" s="91">
        <f t="shared" si="19"/>
        <v>106.541646</v>
      </c>
      <c r="U12" s="91">
        <f t="shared" si="19"/>
        <v>106.541646</v>
      </c>
      <c r="V12" s="91">
        <f t="shared" si="19"/>
        <v>106.541646</v>
      </c>
      <c r="W12" s="91">
        <f t="shared" ref="W12:X12" si="20">V12</f>
        <v>106.541646</v>
      </c>
      <c r="X12" s="91">
        <f t="shared" si="20"/>
        <v>106.541646</v>
      </c>
    </row>
    <row r="13" spans="1:24" x14ac:dyDescent="0.2">
      <c r="A13" s="135" t="str">
        <f>Assumptions!A72</f>
        <v>Non-Wires Costs</v>
      </c>
      <c r="B13" s="136"/>
      <c r="C13" s="136"/>
      <c r="D13" s="136"/>
      <c r="E13" s="136">
        <f>Assumptions!E72</f>
        <v>4.7998784125</v>
      </c>
      <c r="F13" s="136">
        <f>Assumptions!F72</f>
        <v>4.911712361438866</v>
      </c>
      <c r="G13" s="136">
        <f>Assumptions!G72</f>
        <v>5.0283370906833964</v>
      </c>
      <c r="H13" s="136">
        <f>Assumptions!H72</f>
        <v>5.150216089678227</v>
      </c>
      <c r="I13" s="136">
        <f>Assumptions!I72</f>
        <v>5.2818855941377247</v>
      </c>
      <c r="J13" s="136">
        <f>Assumptions!J72</f>
        <v>5.4136245716416402</v>
      </c>
      <c r="K13" s="136">
        <f>Assumptions!K72</f>
        <v>5.5402196866710023</v>
      </c>
      <c r="L13" s="136">
        <f>Assumptions!L72</f>
        <v>5.66783698639754</v>
      </c>
      <c r="M13" s="136">
        <f>Assumptions!M72</f>
        <v>5.7975066500472296</v>
      </c>
      <c r="N13" s="136">
        <f>Assumptions!N72</f>
        <v>5.931037594296213</v>
      </c>
      <c r="O13" s="136">
        <f>Assumptions!O72</f>
        <v>6.0692515933013791</v>
      </c>
      <c r="P13" s="136">
        <f>Assumptions!P72</f>
        <v>6.2122489199655018</v>
      </c>
      <c r="Q13" s="136">
        <f>Assumptions!Q72</f>
        <v>6.3583482964264091</v>
      </c>
      <c r="R13" s="136">
        <f>Assumptions!R72</f>
        <v>6.5077827812498974</v>
      </c>
      <c r="S13" s="136">
        <f>Assumptions!S72</f>
        <v>6.6603813706610806</v>
      </c>
      <c r="T13" s="136">
        <f>Assumptions!T72</f>
        <v>6.8166335759335741</v>
      </c>
      <c r="U13" s="136">
        <f>Assumptions!U72</f>
        <v>6.9763038732343041</v>
      </c>
      <c r="V13" s="136">
        <f>Assumptions!V72</f>
        <v>7.139278145176835</v>
      </c>
      <c r="W13" s="136">
        <f>Assumptions!W72</f>
        <v>7.3054794553693334</v>
      </c>
      <c r="X13" s="136">
        <f>Assumptions!X72</f>
        <v>7.4757949986478307</v>
      </c>
    </row>
    <row r="14" spans="1:24" x14ac:dyDescent="0.2">
      <c r="A14" s="137" t="s">
        <v>129</v>
      </c>
      <c r="B14" s="138"/>
      <c r="C14" s="138"/>
      <c r="D14" s="138"/>
      <c r="E14" s="138">
        <f t="shared" ref="E14:V14" si="21">SUM(E11:E13)</f>
        <v>1916.7334297988</v>
      </c>
      <c r="F14" s="138">
        <f t="shared" si="21"/>
        <v>1972.4569991787992</v>
      </c>
      <c r="G14" s="138">
        <f t="shared" si="21"/>
        <v>2007.3250188033517</v>
      </c>
      <c r="H14" s="138">
        <f t="shared" si="21"/>
        <v>2052.8967855246165</v>
      </c>
      <c r="I14" s="138">
        <f t="shared" si="21"/>
        <v>2187.5152664829957</v>
      </c>
      <c r="J14" s="138">
        <f t="shared" si="21"/>
        <v>2294.7064778503313</v>
      </c>
      <c r="K14" s="138">
        <f t="shared" si="21"/>
        <v>2326.5917088770157</v>
      </c>
      <c r="L14" s="138">
        <f t="shared" si="21"/>
        <v>2357.5354600277815</v>
      </c>
      <c r="M14" s="138">
        <f t="shared" si="21"/>
        <v>2387.6196668462558</v>
      </c>
      <c r="N14" s="138">
        <f t="shared" si="21"/>
        <v>2417.0003387695001</v>
      </c>
      <c r="O14" s="138">
        <f t="shared" si="21"/>
        <v>2440.7119761753643</v>
      </c>
      <c r="P14" s="138">
        <f t="shared" si="21"/>
        <v>2459.6049875404624</v>
      </c>
      <c r="Q14" s="138">
        <f t="shared" si="21"/>
        <v>2477.699430197883</v>
      </c>
      <c r="R14" s="138">
        <f t="shared" si="21"/>
        <v>2495.0159223254304</v>
      </c>
      <c r="S14" s="138">
        <f t="shared" si="21"/>
        <v>2511.5396732143013</v>
      </c>
      <c r="T14" s="138">
        <f t="shared" si="21"/>
        <v>2526.313007960759</v>
      </c>
      <c r="U14" s="138">
        <f t="shared" si="21"/>
        <v>2539.4818789603978</v>
      </c>
      <c r="V14" s="138">
        <f t="shared" si="21"/>
        <v>2551.863265496534</v>
      </c>
      <c r="W14" s="138">
        <f t="shared" ref="W14:X14" si="22">SUM(W11:W13)</f>
        <v>2563.450462638762</v>
      </c>
      <c r="X14" s="138">
        <f t="shared" si="22"/>
        <v>2574.3207885390075</v>
      </c>
    </row>
    <row r="15" spans="1:24" x14ac:dyDescent="0.2">
      <c r="A15" s="140" t="s">
        <v>27</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row>
    <row r="16" spans="1:24" x14ac:dyDescent="0.2">
      <c r="A16" s="134" t="str">
        <f>Assumptions!A74</f>
        <v>Operating Reserves</v>
      </c>
      <c r="B16" s="124"/>
      <c r="C16" s="124"/>
      <c r="D16" s="124"/>
      <c r="E16" s="124">
        <f>Assumptions!E74</f>
        <v>229.1</v>
      </c>
      <c r="F16" s="124">
        <f>Assumptions!F74</f>
        <v>276.97031351251462</v>
      </c>
      <c r="G16" s="124">
        <f>Assumptions!G74</f>
        <v>287.35076653079119</v>
      </c>
      <c r="H16" s="124">
        <f>Assumptions!H74</f>
        <v>316.48595079662255</v>
      </c>
      <c r="I16" s="124">
        <f>Assumptions!I74</f>
        <v>335.26906574691481</v>
      </c>
      <c r="J16" s="124">
        <f>Assumptions!J74</f>
        <v>343.7869489056975</v>
      </c>
      <c r="K16" s="124">
        <f>Assumptions!K74</f>
        <v>371.07455053289664</v>
      </c>
      <c r="L16" s="124">
        <f>Assumptions!L74</f>
        <v>394.59952672567476</v>
      </c>
      <c r="M16" s="124">
        <f>Assumptions!M74</f>
        <v>408.61722710269242</v>
      </c>
      <c r="N16" s="124">
        <f>Assumptions!N74</f>
        <v>426.74018709016929</v>
      </c>
      <c r="O16" s="124">
        <f>Assumptions!O74</f>
        <v>442.94062822486922</v>
      </c>
      <c r="P16" s="124">
        <f>Assumptions!P74</f>
        <v>472.15881513423665</v>
      </c>
      <c r="Q16" s="124">
        <f>Assumptions!Q74</f>
        <v>491.2148030098503</v>
      </c>
      <c r="R16" s="124">
        <f>Assumptions!R74</f>
        <v>510.45430947166204</v>
      </c>
      <c r="S16" s="124">
        <f>Assumptions!S74</f>
        <v>530.84235224859833</v>
      </c>
      <c r="T16" s="124">
        <f>Assumptions!T74</f>
        <v>547.64700388726703</v>
      </c>
      <c r="U16" s="124">
        <f>Assumptions!U74</f>
        <v>566.69112916001802</v>
      </c>
      <c r="V16" s="124">
        <f>Assumptions!V74</f>
        <v>582.26086958672522</v>
      </c>
      <c r="W16" s="124">
        <f>Assumptions!W74</f>
        <v>601.79975339113957</v>
      </c>
      <c r="X16" s="124">
        <f>Assumptions!X74</f>
        <v>619.69235163921655</v>
      </c>
    </row>
    <row r="17" spans="1:24" x14ac:dyDescent="0.2">
      <c r="A17" s="134" t="str">
        <f>Assumptions!A77</f>
        <v>Load Shed Service for Import (LSSi)</v>
      </c>
      <c r="B17" s="124"/>
      <c r="C17" s="124"/>
      <c r="D17" s="124"/>
      <c r="E17" s="124">
        <f>Assumptions!E77</f>
        <v>20.645840013676846</v>
      </c>
      <c r="F17" s="124">
        <f>Assumptions!F77</f>
        <v>21.12687424401831</v>
      </c>
      <c r="G17" s="124">
        <f>Assumptions!G77</f>
        <v>21.628515180453377</v>
      </c>
      <c r="H17" s="124">
        <f>Assumptions!H77</f>
        <v>22.152756442007281</v>
      </c>
      <c r="I17" s="124">
        <f>Assumptions!I77</f>
        <v>22.719109855600319</v>
      </c>
      <c r="J17" s="124">
        <f>Assumptions!J77</f>
        <v>23.285762095379575</v>
      </c>
      <c r="K17" s="124">
        <f>Assumptions!K77</f>
        <v>23.83028890768437</v>
      </c>
      <c r="L17" s="124">
        <f>Assumptions!L77</f>
        <v>24.379212469220846</v>
      </c>
      <c r="M17" s="124">
        <f>Assumptions!M77</f>
        <v>24.936963916292274</v>
      </c>
      <c r="N17" s="124">
        <f>Assumptions!N77</f>
        <v>25.511323988551649</v>
      </c>
      <c r="O17" s="124">
        <f>Assumptions!O77</f>
        <v>26.105827404238148</v>
      </c>
      <c r="P17" s="124">
        <f>Assumptions!P77</f>
        <v>26.720905469757994</v>
      </c>
      <c r="Q17" s="124">
        <f>Assumptions!Q77</f>
        <v>27.349326461559489</v>
      </c>
      <c r="R17" s="124">
        <f>Assumptions!R77</f>
        <v>27.992092840423876</v>
      </c>
      <c r="S17" s="124">
        <f>Assumptions!S77</f>
        <v>28.648469063432223</v>
      </c>
      <c r="T17" s="124">
        <f>Assumptions!T77</f>
        <v>29.320560677969574</v>
      </c>
      <c r="U17" s="124">
        <f>Assumptions!U77</f>
        <v>30.007354619337374</v>
      </c>
      <c r="V17" s="124">
        <f>Assumptions!V77</f>
        <v>30.708360031497065</v>
      </c>
      <c r="W17" s="124">
        <f>Assumptions!W77</f>
        <v>31.42324598597494</v>
      </c>
      <c r="X17" s="124">
        <f>Assumptions!X77</f>
        <v>32.155828596653791</v>
      </c>
    </row>
    <row r="18" spans="1:24" x14ac:dyDescent="0.2">
      <c r="A18" s="134" t="str">
        <f>Assumptions!A75</f>
        <v>Black Start</v>
      </c>
      <c r="B18" s="124"/>
      <c r="C18" s="124"/>
      <c r="D18" s="124"/>
      <c r="E18" s="124">
        <f>Assumptions!E75</f>
        <v>2.3118885246898753</v>
      </c>
      <c r="F18" s="124">
        <f>Assumptions!F75</f>
        <v>2.365753977312425</v>
      </c>
      <c r="G18" s="124">
        <f>Assumptions!G75</f>
        <v>2.4219269363051636</v>
      </c>
      <c r="H18" s="124">
        <f>Assumptions!H75</f>
        <v>2.4806306439747248</v>
      </c>
      <c r="I18" s="124">
        <f>Assumptions!I75</f>
        <v>2.5440500038524196</v>
      </c>
      <c r="J18" s="124">
        <f>Assumptions!J75</f>
        <v>2.6075028258140178</v>
      </c>
      <c r="K18" s="124">
        <f>Assumptions!K75</f>
        <v>2.6684780773862213</v>
      </c>
      <c r="L18" s="124">
        <f>Assumptions!L75</f>
        <v>2.7299456699863476</v>
      </c>
      <c r="M18" s="124">
        <f>Assumptions!M75</f>
        <v>2.7924017952522315</v>
      </c>
      <c r="N18" s="124">
        <f>Assumptions!N75</f>
        <v>2.8567177281092553</v>
      </c>
      <c r="O18" s="124">
        <f>Assumptions!O75</f>
        <v>2.9232892807176292</v>
      </c>
      <c r="P18" s="124">
        <f>Assumptions!P75</f>
        <v>2.9921647500868471</v>
      </c>
      <c r="Q18" s="124">
        <f>Assumptions!Q75</f>
        <v>3.0625343392465845</v>
      </c>
      <c r="R18" s="124">
        <f>Assumptions!R75</f>
        <v>3.134510302170284</v>
      </c>
      <c r="S18" s="124">
        <f>Assumptions!S75</f>
        <v>3.2080102739247405</v>
      </c>
      <c r="T18" s="124">
        <f>Assumptions!T75</f>
        <v>3.2832700303773659</v>
      </c>
      <c r="U18" s="124">
        <f>Assumptions!U75</f>
        <v>3.3601761301448212</v>
      </c>
      <c r="V18" s="124">
        <f>Assumptions!V75</f>
        <v>3.4386736079439268</v>
      </c>
      <c r="W18" s="124">
        <f>Assumptions!W75</f>
        <v>3.5187254069273788</v>
      </c>
      <c r="X18" s="124">
        <f>Assumptions!X75</f>
        <v>3.6007588494946865</v>
      </c>
    </row>
    <row r="19" spans="1:24" x14ac:dyDescent="0.2">
      <c r="A19" s="134" t="str">
        <f>Assumptions!A76</f>
        <v>Transmission Must-Run</v>
      </c>
      <c r="B19" s="124"/>
      <c r="C19" s="124"/>
      <c r="D19" s="124"/>
      <c r="E19" s="124">
        <f>Assumptions!E76</f>
        <v>2.83</v>
      </c>
      <c r="F19" s="124">
        <f>Assumptions!F76</f>
        <v>2.8959371026300955</v>
      </c>
      <c r="G19" s="124">
        <f>Assumptions!G76</f>
        <v>2.9646988410321558</v>
      </c>
      <c r="H19" s="124">
        <f>Assumptions!H76</f>
        <v>3.0365584877801077</v>
      </c>
      <c r="I19" s="124">
        <f>Assumptions!I76</f>
        <v>3.1141905995956858</v>
      </c>
      <c r="J19" s="124">
        <f>Assumptions!J76</f>
        <v>3.1918636725979455</v>
      </c>
      <c r="K19" s="124">
        <f>Assumptions!K76</f>
        <v>3.2665039331928996</v>
      </c>
      <c r="L19" s="124">
        <f>Assumptions!L76</f>
        <v>3.3417468721151784</v>
      </c>
      <c r="M19" s="124">
        <f>Assumptions!M76</f>
        <v>3.418199881252443</v>
      </c>
      <c r="N19" s="124">
        <f>Assumptions!N76</f>
        <v>3.4969294947444229</v>
      </c>
      <c r="O19" s="124">
        <f>Assumptions!O76</f>
        <v>3.578420229210943</v>
      </c>
      <c r="P19" s="124">
        <f>Assumptions!P76</f>
        <v>3.6627312053818355</v>
      </c>
      <c r="Q19" s="124">
        <f>Assumptions!Q76</f>
        <v>3.7488711447410532</v>
      </c>
      <c r="R19" s="124">
        <f>Assumptions!R76</f>
        <v>3.8369774582153995</v>
      </c>
      <c r="S19" s="124">
        <f>Assumptions!S76</f>
        <v>3.9269493222753309</v>
      </c>
      <c r="T19" s="124">
        <f>Assumptions!T76</f>
        <v>4.0190753519200779</v>
      </c>
      <c r="U19" s="124">
        <f>Assumptions!U76</f>
        <v>4.1132166827055201</v>
      </c>
      <c r="V19" s="124">
        <f>Assumptions!V76</f>
        <v>4.209306031218234</v>
      </c>
      <c r="W19" s="124">
        <f>Assumptions!W76</f>
        <v>4.3072980358948261</v>
      </c>
      <c r="X19" s="124">
        <f>Assumptions!X76</f>
        <v>4.4077157852742532</v>
      </c>
    </row>
    <row r="20" spans="1:24" x14ac:dyDescent="0.2">
      <c r="A20" s="216" t="s">
        <v>186</v>
      </c>
      <c r="B20" s="139"/>
      <c r="C20" s="139"/>
      <c r="D20" s="139"/>
      <c r="E20" s="124">
        <f>Assumptions!E78</f>
        <v>2.8571428800000001</v>
      </c>
      <c r="F20" s="124">
        <f>Assumptions!F78</f>
        <v>2.9237123935361859</v>
      </c>
      <c r="G20" s="124">
        <f>Assumptions!G78</f>
        <v>2.9931336342753623</v>
      </c>
      <c r="H20" s="124">
        <f>Assumptions!H78</f>
        <v>3.0656824957825091</v>
      </c>
      <c r="I20" s="124">
        <f>Assumptions!I78</f>
        <v>3.1440591867836547</v>
      </c>
      <c r="J20" s="124">
        <f>Assumptions!J78</f>
        <v>3.2224772318352892</v>
      </c>
      <c r="K20" s="124">
        <f>Assumptions!K78</f>
        <v>3.297833376400737</v>
      </c>
      <c r="L20" s="124">
        <f>Assumptions!L78</f>
        <v>3.3737979796558832</v>
      </c>
      <c r="M20" s="124">
        <f>Assumptions!M78</f>
        <v>3.4509842590591022</v>
      </c>
      <c r="N20" s="124">
        <f>Assumptions!N78</f>
        <v>3.5304689780109615</v>
      </c>
      <c r="O20" s="124">
        <f>Assumptions!O78</f>
        <v>3.6127413001901094</v>
      </c>
      <c r="P20" s="124">
        <f>Assumptions!P78</f>
        <v>3.6978609133606093</v>
      </c>
      <c r="Q20" s="124">
        <f>Assumptions!Q78</f>
        <v>3.7848270315315706</v>
      </c>
      <c r="R20" s="124">
        <f>Assumptions!R78</f>
        <v>3.8737783835549897</v>
      </c>
      <c r="S20" s="124">
        <f>Assumptions!S78</f>
        <v>3.964613178890382</v>
      </c>
      <c r="T20" s="124">
        <f>Assumptions!T78</f>
        <v>4.0576228006791304</v>
      </c>
      <c r="U20" s="124">
        <f>Assumptions!U78</f>
        <v>4.152667052611057</v>
      </c>
      <c r="V20" s="124">
        <f>Assumptions!V78</f>
        <v>4.2496780059491979</v>
      </c>
      <c r="W20" s="124">
        <f>Assumptions!W78</f>
        <v>4.3486098640617952</v>
      </c>
      <c r="X20" s="124">
        <f>Assumptions!X78</f>
        <v>4.4499907324946761</v>
      </c>
    </row>
    <row r="21" spans="1:24" x14ac:dyDescent="0.2">
      <c r="A21" s="216" t="s">
        <v>187</v>
      </c>
      <c r="B21" s="139"/>
      <c r="C21" s="139"/>
      <c r="D21" s="139"/>
      <c r="E21" s="124">
        <f>Assumptions!E79</f>
        <v>0.1</v>
      </c>
      <c r="F21" s="124">
        <f>Assumptions!F79</f>
        <v>0.10232993295512705</v>
      </c>
      <c r="G21" s="124">
        <f>Assumptions!G79</f>
        <v>0.10475967636156028</v>
      </c>
      <c r="H21" s="124">
        <f>Assumptions!H79</f>
        <v>0.10729888649399674</v>
      </c>
      <c r="I21" s="124">
        <f>Assumptions!I79</f>
        <v>0.11004207065709137</v>
      </c>
      <c r="J21" s="124">
        <f>Assumptions!J79</f>
        <v>0.11278670221194154</v>
      </c>
      <c r="K21" s="124">
        <f>Assumptions!K79</f>
        <v>0.1154241672506325</v>
      </c>
      <c r="L21" s="124">
        <f>Assumptions!L79</f>
        <v>0.11808292834329252</v>
      </c>
      <c r="M21" s="124">
        <f>Assumptions!M79</f>
        <v>0.12078444810079304</v>
      </c>
      <c r="N21" s="124">
        <f>Assumptions!N79</f>
        <v>0.1235664132418524</v>
      </c>
      <c r="O21" s="124">
        <f>Assumptions!O79</f>
        <v>0.12644594449508634</v>
      </c>
      <c r="P21" s="124">
        <f>Assumptions!P79</f>
        <v>0.12942513093222033</v>
      </c>
      <c r="Q21" s="124">
        <f>Assumptions!Q79</f>
        <v>0.13246894504385345</v>
      </c>
      <c r="R21" s="124">
        <f>Assumptions!R79</f>
        <v>0.13558224233976673</v>
      </c>
      <c r="S21" s="124">
        <f>Assumptions!S79</f>
        <v>0.13876146015107171</v>
      </c>
      <c r="T21" s="124">
        <f>Assumptions!T79</f>
        <v>0.14201679688763522</v>
      </c>
      <c r="U21" s="124">
        <f>Assumptions!U79</f>
        <v>0.14534334567864024</v>
      </c>
      <c r="V21" s="124">
        <f>Assumptions!V79</f>
        <v>0.14873872901831209</v>
      </c>
      <c r="W21" s="124">
        <f>Assumptions!W79</f>
        <v>0.15220134402455207</v>
      </c>
      <c r="X21" s="124">
        <f>Assumptions!X79</f>
        <v>0.15574967439131626</v>
      </c>
    </row>
    <row r="22" spans="1:24" x14ac:dyDescent="0.2">
      <c r="A22" s="217" t="s">
        <v>38</v>
      </c>
      <c r="B22" s="138"/>
      <c r="C22" s="138"/>
      <c r="D22" s="138"/>
      <c r="E22" s="138">
        <f t="shared" ref="E22:V22" si="23">SUM(E16:E21)</f>
        <v>257.84487141836678</v>
      </c>
      <c r="F22" s="138">
        <f t="shared" si="23"/>
        <v>306.38492116296675</v>
      </c>
      <c r="G22" s="138">
        <f t="shared" si="23"/>
        <v>317.46380079921875</v>
      </c>
      <c r="H22" s="138">
        <f t="shared" si="23"/>
        <v>347.32887775266113</v>
      </c>
      <c r="I22" s="138">
        <f t="shared" si="23"/>
        <v>366.90051746340396</v>
      </c>
      <c r="J22" s="138">
        <f t="shared" si="23"/>
        <v>376.20734143353633</v>
      </c>
      <c r="K22" s="138">
        <f t="shared" si="23"/>
        <v>404.25307899481146</v>
      </c>
      <c r="L22" s="138">
        <f t="shared" si="23"/>
        <v>428.54231264499634</v>
      </c>
      <c r="M22" s="138">
        <f t="shared" si="23"/>
        <v>443.33656140264924</v>
      </c>
      <c r="N22" s="138">
        <f t="shared" si="23"/>
        <v>462.25919369282741</v>
      </c>
      <c r="O22" s="138">
        <f t="shared" si="23"/>
        <v>479.28735238372116</v>
      </c>
      <c r="P22" s="138">
        <f t="shared" si="23"/>
        <v>509.36190260375616</v>
      </c>
      <c r="Q22" s="138">
        <f t="shared" si="23"/>
        <v>529.29283093197284</v>
      </c>
      <c r="R22" s="138">
        <f t="shared" si="23"/>
        <v>549.42725069836627</v>
      </c>
      <c r="S22" s="138">
        <f t="shared" si="23"/>
        <v>570.72915554727206</v>
      </c>
      <c r="T22" s="138">
        <f t="shared" si="23"/>
        <v>588.46954954510079</v>
      </c>
      <c r="U22" s="138">
        <f t="shared" si="23"/>
        <v>608.46988699049541</v>
      </c>
      <c r="V22" s="138">
        <f t="shared" si="23"/>
        <v>625.01562599235194</v>
      </c>
      <c r="W22" s="138">
        <f t="shared" ref="W22:X22" si="24">SUM(W16:W21)</f>
        <v>645.54983402802316</v>
      </c>
      <c r="X22" s="138">
        <f t="shared" si="24"/>
        <v>664.46239527752539</v>
      </c>
    </row>
    <row r="23" spans="1:24" x14ac:dyDescent="0.2">
      <c r="A23" s="132" t="str">
        <f>Assumptions!A81</f>
        <v>Other Industry and AESO G&amp;A</v>
      </c>
      <c r="B23" s="124"/>
      <c r="C23" s="124"/>
      <c r="D23" s="124"/>
      <c r="E23" s="124">
        <f>Assumptions!E81</f>
        <v>98.967838999999998</v>
      </c>
      <c r="F23" s="124">
        <f>Assumptions!F81</f>
        <v>101.48981110519841</v>
      </c>
      <c r="G23" s="124">
        <f>Assumptions!G81</f>
        <v>104.12436339923082</v>
      </c>
      <c r="H23" s="124">
        <f>Assumptions!H81</f>
        <v>106.86953727061029</v>
      </c>
      <c r="I23" s="124">
        <f>Assumptions!I81</f>
        <v>109.9060246219195</v>
      </c>
      <c r="J23" s="124">
        <f>Assumptions!J81</f>
        <v>112.92852189117937</v>
      </c>
      <c r="K23" s="124">
        <f>Assumptions!K81</f>
        <v>115.76273264188697</v>
      </c>
      <c r="L23" s="124">
        <f>Assumptions!L81</f>
        <v>118.60593701676913</v>
      </c>
      <c r="M23" s="124">
        <f>Assumptions!M81</f>
        <v>121.49029221870778</v>
      </c>
      <c r="N23" s="124">
        <f>Assumptions!N81</f>
        <v>124.47369720155557</v>
      </c>
      <c r="O23" s="124">
        <f>Assumptions!O81</f>
        <v>127.58219350375572</v>
      </c>
      <c r="P23" s="124">
        <f>Assumptions!P81</f>
        <v>130.81881897169612</v>
      </c>
      <c r="Q23" s="124">
        <f>Assumptions!Q81</f>
        <v>134.12901228538439</v>
      </c>
      <c r="R23" s="124">
        <f>Assumptions!R81</f>
        <v>137.51968854251922</v>
      </c>
      <c r="S23" s="124">
        <f>Assumptions!S81</f>
        <v>140.98471209283039</v>
      </c>
      <c r="T23" s="124">
        <f>Assumptions!T81</f>
        <v>144.53955196989818</v>
      </c>
      <c r="U23" s="124">
        <f>Assumptions!U81</f>
        <v>148.17589406781897</v>
      </c>
      <c r="V23" s="124">
        <f>Assumptions!V81</f>
        <v>151.88952137614646</v>
      </c>
      <c r="W23" s="124">
        <f>Assumptions!W81</f>
        <v>155.67715621851488</v>
      </c>
      <c r="X23" s="124">
        <f>Assumptions!X81</f>
        <v>159.56737833396775</v>
      </c>
    </row>
    <row r="24" spans="1:24" x14ac:dyDescent="0.2">
      <c r="A24" s="132" t="str">
        <f>Assumptions!A82</f>
        <v>Rate DTS Revenue Offsets</v>
      </c>
      <c r="B24" s="124"/>
      <c r="C24" s="124"/>
      <c r="D24" s="124"/>
      <c r="E24" s="124">
        <f>Assumptions!E82</f>
        <v>26.162394022361411</v>
      </c>
      <c r="F24" s="124">
        <f>Assumptions!F82</f>
        <v>26.771960262538599</v>
      </c>
      <c r="G24" s="124">
        <f>Assumptions!G82</f>
        <v>27.407639306262006</v>
      </c>
      <c r="H24" s="124">
        <f>Assumptions!H82</f>
        <v>28.071957466165756</v>
      </c>
      <c r="I24" s="124">
        <f>Assumptions!I82</f>
        <v>28.789640115673588</v>
      </c>
      <c r="J24" s="124">
        <f>Assumptions!J82</f>
        <v>29.50770143751555</v>
      </c>
      <c r="K24" s="124">
        <f>Assumptions!K82</f>
        <v>30.197725433139905</v>
      </c>
      <c r="L24" s="124">
        <f>Assumptions!L82</f>
        <v>30.893320986314862</v>
      </c>
      <c r="M24" s="124">
        <f>Assumptions!M82</f>
        <v>31.600103229864089</v>
      </c>
      <c r="N24" s="124">
        <f>Assumptions!N82</f>
        <v>32.327931911632781</v>
      </c>
      <c r="O24" s="124">
        <f>Assumptions!O82</f>
        <v>33.081286224100886</v>
      </c>
      <c r="P24" s="124">
        <f>Assumptions!P82</f>
        <v>33.860712718444631</v>
      </c>
      <c r="Q24" s="124">
        <f>Assumptions!Q82</f>
        <v>34.657047359638334</v>
      </c>
      <c r="R24" s="124">
        <f>Assumptions!R82</f>
        <v>35.471560465282693</v>
      </c>
      <c r="S24" s="124">
        <f>Assumptions!S82</f>
        <v>36.303319955905401</v>
      </c>
      <c r="T24" s="124">
        <f>Assumptions!T82</f>
        <v>37.15499397967983</v>
      </c>
      <c r="U24" s="124">
        <f>Assumptions!U82</f>
        <v>38.025298781728665</v>
      </c>
      <c r="V24" s="124">
        <f>Assumptions!V82</f>
        <v>38.913612349623229</v>
      </c>
      <c r="W24" s="124">
        <f>Assumptions!W82</f>
        <v>39.819515331033152</v>
      </c>
      <c r="X24" s="124">
        <f>Assumptions!X82</f>
        <v>40.747843502801103</v>
      </c>
    </row>
    <row r="25" spans="1:24" x14ac:dyDescent="0.2">
      <c r="A25" s="88" t="s">
        <v>130</v>
      </c>
      <c r="B25" s="88"/>
      <c r="C25" s="88"/>
      <c r="D25" s="88"/>
      <c r="E25" s="92">
        <f t="shared" ref="E25:V25" si="25">SUM(E14,E22,E23:E24)</f>
        <v>2299.708534239528</v>
      </c>
      <c r="F25" s="274">
        <f t="shared" si="25"/>
        <v>2407.103691709503</v>
      </c>
      <c r="G25" s="274">
        <f t="shared" si="25"/>
        <v>2456.3208223080633</v>
      </c>
      <c r="H25" s="274">
        <f t="shared" si="25"/>
        <v>2535.1671580140537</v>
      </c>
      <c r="I25" s="274">
        <f t="shared" si="25"/>
        <v>2693.1114486839929</v>
      </c>
      <c r="J25" s="274">
        <f t="shared" si="25"/>
        <v>2813.3500426125629</v>
      </c>
      <c r="K25" s="274">
        <f t="shared" si="25"/>
        <v>2876.805245946854</v>
      </c>
      <c r="L25" s="274">
        <f t="shared" si="25"/>
        <v>2935.5770306758618</v>
      </c>
      <c r="M25" s="274">
        <f t="shared" si="25"/>
        <v>2984.0466236974771</v>
      </c>
      <c r="N25" s="274">
        <f t="shared" si="25"/>
        <v>3036.0611615755161</v>
      </c>
      <c r="O25" s="274">
        <f t="shared" si="25"/>
        <v>3080.662808286942</v>
      </c>
      <c r="P25" s="274">
        <f t="shared" si="25"/>
        <v>3133.6464218343594</v>
      </c>
      <c r="Q25" s="274">
        <f t="shared" si="25"/>
        <v>3175.7783207748785</v>
      </c>
      <c r="R25" s="274">
        <f t="shared" si="25"/>
        <v>3217.4344220315988</v>
      </c>
      <c r="S25" s="274">
        <f t="shared" si="25"/>
        <v>3259.556860810309</v>
      </c>
      <c r="T25" s="274">
        <f t="shared" si="25"/>
        <v>3296.4771034554378</v>
      </c>
      <c r="U25" s="274">
        <f t="shared" si="25"/>
        <v>3334.152958800441</v>
      </c>
      <c r="V25" s="274">
        <f t="shared" si="25"/>
        <v>3367.6820252146558</v>
      </c>
      <c r="W25" s="274">
        <f t="shared" ref="W25:X25" si="26">SUM(W14,W22,W23:W24)</f>
        <v>3404.4969682163332</v>
      </c>
      <c r="X25" s="274">
        <f t="shared" si="26"/>
        <v>3439.0984056533016</v>
      </c>
    </row>
    <row r="26" spans="1:24" x14ac:dyDescent="0.2">
      <c r="A26" s="53"/>
      <c r="B26" s="53"/>
      <c r="C26" s="53"/>
      <c r="D26" s="242"/>
      <c r="E26" s="56"/>
      <c r="F26" s="56"/>
      <c r="G26" s="56"/>
      <c r="H26" s="56"/>
      <c r="I26" s="56"/>
      <c r="J26" s="56"/>
      <c r="K26" s="56"/>
      <c r="L26" s="56"/>
      <c r="M26" s="56"/>
      <c r="N26" s="56"/>
      <c r="O26" s="56"/>
      <c r="P26" s="56"/>
      <c r="Q26" s="56"/>
      <c r="R26" s="56"/>
      <c r="S26" s="56"/>
      <c r="T26" s="56"/>
      <c r="U26" s="56"/>
      <c r="V26" s="56"/>
      <c r="W26" s="56"/>
      <c r="X26" s="56"/>
    </row>
    <row r="27" spans="1:24" s="27" customFormat="1" x14ac:dyDescent="0.2">
      <c r="A27" s="64" t="s">
        <v>225</v>
      </c>
      <c r="B27" s="64"/>
      <c r="C27" s="64"/>
      <c r="D27" s="64"/>
      <c r="E27" s="87"/>
      <c r="F27" s="87"/>
      <c r="G27" s="87"/>
      <c r="H27" s="87"/>
      <c r="I27" s="87"/>
      <c r="J27" s="87"/>
      <c r="K27" s="87"/>
      <c r="L27" s="87"/>
      <c r="M27" s="87"/>
      <c r="N27" s="87"/>
      <c r="O27" s="87"/>
      <c r="P27" s="87"/>
      <c r="Q27" s="87"/>
      <c r="R27" s="87"/>
      <c r="S27" s="87"/>
      <c r="T27" s="87"/>
      <c r="U27" s="87"/>
      <c r="V27" s="87"/>
      <c r="W27" s="87"/>
      <c r="X27" s="87"/>
    </row>
    <row r="28" spans="1:24" s="27" customFormat="1" x14ac:dyDescent="0.2">
      <c r="A28" s="62"/>
      <c r="B28" s="62"/>
      <c r="C28" s="62"/>
      <c r="D28" s="62"/>
      <c r="E28" s="244"/>
      <c r="F28" s="244"/>
      <c r="G28" s="244"/>
      <c r="H28" s="244"/>
      <c r="I28" s="244"/>
      <c r="J28" s="244"/>
      <c r="K28" s="244"/>
      <c r="L28" s="244"/>
      <c r="M28" s="244"/>
      <c r="N28" s="244"/>
      <c r="O28" s="244"/>
      <c r="P28" s="244"/>
      <c r="Q28" s="244"/>
      <c r="R28" s="244"/>
      <c r="S28" s="244"/>
      <c r="T28" s="244"/>
      <c r="U28" s="244"/>
      <c r="V28" s="244"/>
      <c r="W28" s="244"/>
      <c r="X28" s="244"/>
    </row>
    <row r="29" spans="1:24" s="52" customFormat="1" x14ac:dyDescent="0.2">
      <c r="A29" s="73" t="s">
        <v>41</v>
      </c>
      <c r="B29" s="74"/>
      <c r="C29" s="74"/>
      <c r="D29" s="74"/>
      <c r="E29" s="75">
        <v>2020</v>
      </c>
      <c r="F29" s="75">
        <f t="shared" ref="F29" si="27">E29+1</f>
        <v>2021</v>
      </c>
      <c r="G29" s="75">
        <f t="shared" ref="G29" si="28">F29+1</f>
        <v>2022</v>
      </c>
      <c r="H29" s="75">
        <f t="shared" ref="H29" si="29">G29+1</f>
        <v>2023</v>
      </c>
      <c r="I29" s="75">
        <f t="shared" ref="I29" si="30">H29+1</f>
        <v>2024</v>
      </c>
      <c r="J29" s="75">
        <f t="shared" ref="J29" si="31">I29+1</f>
        <v>2025</v>
      </c>
      <c r="K29" s="75">
        <f t="shared" ref="K29" si="32">J29+1</f>
        <v>2026</v>
      </c>
      <c r="L29" s="75">
        <f t="shared" ref="L29" si="33">K29+1</f>
        <v>2027</v>
      </c>
      <c r="M29" s="75">
        <f t="shared" ref="M29" si="34">L29+1</f>
        <v>2028</v>
      </c>
      <c r="N29" s="75">
        <f t="shared" ref="N29" si="35">M29+1</f>
        <v>2029</v>
      </c>
      <c r="O29" s="75">
        <f t="shared" ref="O29" si="36">N29+1</f>
        <v>2030</v>
      </c>
      <c r="P29" s="75">
        <f t="shared" ref="P29" si="37">O29+1</f>
        <v>2031</v>
      </c>
      <c r="Q29" s="75">
        <f t="shared" ref="Q29" si="38">P29+1</f>
        <v>2032</v>
      </c>
      <c r="R29" s="75">
        <f t="shared" ref="R29" si="39">Q29+1</f>
        <v>2033</v>
      </c>
      <c r="S29" s="75">
        <f t="shared" ref="S29" si="40">R29+1</f>
        <v>2034</v>
      </c>
      <c r="T29" s="75">
        <f t="shared" ref="T29" si="41">S29+1</f>
        <v>2035</v>
      </c>
      <c r="U29" s="75">
        <f t="shared" ref="U29" si="42">T29+1</f>
        <v>2036</v>
      </c>
      <c r="V29" s="75">
        <f t="shared" ref="V29" si="43">U29+1</f>
        <v>2037</v>
      </c>
      <c r="W29" s="75">
        <f t="shared" ref="W29" si="44">V29+1</f>
        <v>2038</v>
      </c>
      <c r="X29" s="75">
        <f t="shared" ref="X29" si="45">W29+1</f>
        <v>2039</v>
      </c>
    </row>
    <row r="30" spans="1:24" x14ac:dyDescent="0.2">
      <c r="A30" s="55" t="s">
        <v>214</v>
      </c>
      <c r="B30" s="55"/>
      <c r="C30" s="55"/>
      <c r="D30" s="55"/>
      <c r="E30" s="91">
        <f>SUM(E14,E23:E24)*Assumptions!E87</f>
        <v>1055.4935823535855</v>
      </c>
      <c r="F30" s="91">
        <f>SUM(F14,F23:F24)*Assumptions!F87</f>
        <v>1085.9173513955552</v>
      </c>
      <c r="G30" s="91">
        <f>SUM(G14,G23:G24)*Assumptions!G87</f>
        <v>1105.6320267021763</v>
      </c>
      <c r="H30" s="91">
        <f>SUM(H14,H23:H24)*Assumptions!H87</f>
        <v>1130.9517408487536</v>
      </c>
      <c r="I30" s="91">
        <f>SUM(I14,I23:I24)*Assumptions!I87</f>
        <v>1202.4802408754847</v>
      </c>
      <c r="J30" s="91">
        <f>SUM(J14,J23:J24)*Assumptions!J87</f>
        <v>1259.8238203721096</v>
      </c>
      <c r="K30" s="91">
        <f>SUM(K14,K23:K24)*Assumptions!K87</f>
        <v>1278.1279141069228</v>
      </c>
      <c r="L30" s="91">
        <f>SUM(L14,L23:L24)*Assumptions!L87</f>
        <v>1295.9528610069474</v>
      </c>
      <c r="M30" s="91">
        <f>SUM(M14,M23:M24)*Assumptions!M87</f>
        <v>1313.360541255809</v>
      </c>
      <c r="N30" s="91">
        <f>SUM(N14,N23:N24)*Assumptions!N87</f>
        <v>1330.4666265502497</v>
      </c>
      <c r="O30" s="91">
        <f>SUM(O14,O23:O24)*Assumptions!O87</f>
        <v>1344.7200951724219</v>
      </c>
      <c r="P30" s="91">
        <f>SUM(P14,P23:P24)*Assumptions!P87</f>
        <v>1356.5623987307188</v>
      </c>
      <c r="Q30" s="91">
        <f>SUM(Q14,Q23:Q24)*Assumptions!Q87</f>
        <v>1368.0386703496226</v>
      </c>
      <c r="R30" s="91">
        <f>SUM(R14,R23:R24)*Assumptions!R87</f>
        <v>1379.1637993717595</v>
      </c>
      <c r="S30" s="91">
        <f>SUM(S14,S23:S24)*Assumptions!S87</f>
        <v>1389.9264865894359</v>
      </c>
      <c r="T30" s="91">
        <f>SUM(T14,T23:T24)*Assumptions!T87</f>
        <v>1399.8410599893896</v>
      </c>
      <c r="U30" s="91">
        <f>SUM(U14,U23:U24)*Assumptions!U87</f>
        <v>1408.9780048537864</v>
      </c>
      <c r="V30" s="91">
        <f>SUM(V14,V23:V24)*Assumptions!V87</f>
        <v>1417.7571380628992</v>
      </c>
      <c r="W30" s="91">
        <f>SUM(W14,W23:W24)*Assumptions!W87</f>
        <v>1426.1730825676741</v>
      </c>
      <c r="X30" s="91">
        <f>SUM(X14,X23:X24)*Assumptions!X87</f>
        <v>1434.2830795433442</v>
      </c>
    </row>
    <row r="31" spans="1:24" x14ac:dyDescent="0.2">
      <c r="A31" s="55" t="s">
        <v>42</v>
      </c>
      <c r="B31" s="55"/>
      <c r="C31" s="55"/>
      <c r="D31" s="55"/>
      <c r="E31" s="91">
        <f>SUM(E14,E23:E24)*Assumptions!E88</f>
        <v>501.97522593225415</v>
      </c>
      <c r="F31" s="91">
        <f>SUM(F14,F23:F24)*Assumptions!F88</f>
        <v>516.44426543555403</v>
      </c>
      <c r="G31" s="91">
        <f>SUM(G14,G23:G24)*Assumptions!G88</f>
        <v>525.82023773578817</v>
      </c>
      <c r="H31" s="91">
        <f>SUM(H14,H23:H24)*Assumptions!H88</f>
        <v>537.86187346125337</v>
      </c>
      <c r="I31" s="91">
        <f>SUM(I14,I23:I24)*Assumptions!I88</f>
        <v>571.87964065738345</v>
      </c>
      <c r="J31" s="91">
        <f>SUM(J14,J23:J24)*Assumptions!J88</f>
        <v>599.15129512769897</v>
      </c>
      <c r="K31" s="91">
        <f>SUM(K14,K23:K24)*Assumptions!K88</f>
        <v>607.85641824889285</v>
      </c>
      <c r="L31" s="91">
        <f>SUM(L14,L23:L24)*Assumptions!L88</f>
        <v>616.33366708959011</v>
      </c>
      <c r="M31" s="91">
        <f>SUM(M14,M23:M24)*Assumptions!M88</f>
        <v>624.6124708378743</v>
      </c>
      <c r="N31" s="91">
        <f>SUM(N14,N23:N24)*Assumptions!N88</f>
        <v>632.74784103249544</v>
      </c>
      <c r="O31" s="91">
        <f>SUM(O14,O23:O24)*Assumptions!O88</f>
        <v>639.52655409295664</v>
      </c>
      <c r="P31" s="91">
        <f>SUM(P14,P23:P24)*Assumptions!P88</f>
        <v>645.15855707584444</v>
      </c>
      <c r="Q31" s="91">
        <f>SUM(Q14,Q23:Q24)*Assumptions!Q88</f>
        <v>650.61648134470977</v>
      </c>
      <c r="R31" s="91">
        <f>SUM(R14,R23:R24)*Assumptions!R88</f>
        <v>655.90740802373318</v>
      </c>
      <c r="S31" s="91">
        <f>SUM(S14,S23:S24)*Assumptions!S88</f>
        <v>661.02596339730962</v>
      </c>
      <c r="T31" s="91">
        <f>SUM(T14,T23:T24)*Assumptions!T88</f>
        <v>665.74116991838196</v>
      </c>
      <c r="U31" s="91">
        <f>SUM(U14,U23:U24)*Assumptions!U88</f>
        <v>670.08654921704988</v>
      </c>
      <c r="V31" s="91">
        <f>SUM(V14,V23:V24)*Assumptions!V88</f>
        <v>674.26175923235576</v>
      </c>
      <c r="W31" s="91">
        <f>SUM(W14,W23:W24)*Assumptions!W88</f>
        <v>678.26424272903171</v>
      </c>
      <c r="X31" s="91">
        <f>SUM(X14,X23:X24)*Assumptions!X88</f>
        <v>682.12122265978053</v>
      </c>
    </row>
    <row r="32" spans="1:24" x14ac:dyDescent="0.2">
      <c r="A32" s="55" t="s">
        <v>43</v>
      </c>
      <c r="B32" s="55"/>
      <c r="C32" s="55"/>
      <c r="D32" s="55"/>
      <c r="E32" s="91">
        <f>SUM(E14,E23:E24)*Assumptions!E89</f>
        <v>484.39485453532171</v>
      </c>
      <c r="F32" s="91">
        <f>SUM(F14,F23:F24)*Assumptions!F89</f>
        <v>498.35715371542642</v>
      </c>
      <c r="G32" s="91">
        <f>SUM(G14,G23:G24)*Assumptions!G89</f>
        <v>507.40475707087978</v>
      </c>
      <c r="H32" s="91">
        <f>SUM(H14,H23:H24)*Assumptions!H89</f>
        <v>519.02466595138549</v>
      </c>
      <c r="I32" s="91">
        <f>SUM(I14,I23:I24)*Assumptions!I89</f>
        <v>551.85104968772089</v>
      </c>
      <c r="J32" s="91">
        <f>SUM(J14,J23:J24)*Assumptions!J89</f>
        <v>578.16758567921795</v>
      </c>
      <c r="K32" s="91">
        <f>SUM(K14,K23:K24)*Assumptions!K89</f>
        <v>586.56783459622704</v>
      </c>
      <c r="L32" s="91">
        <f>SUM(L14,L23:L24)*Assumptions!L89</f>
        <v>594.7481899343278</v>
      </c>
      <c r="M32" s="91">
        <f>SUM(M14,M23:M24)*Assumptions!M89</f>
        <v>602.7370502011446</v>
      </c>
      <c r="N32" s="91">
        <f>SUM(N14,N23:N24)*Assumptions!N89</f>
        <v>610.5875002999436</v>
      </c>
      <c r="O32" s="91">
        <f>SUM(O14,O23:O24)*Assumptions!O89</f>
        <v>617.12880663784233</v>
      </c>
      <c r="P32" s="91">
        <f>SUM(P14,P23:P24)*Assumptions!P89</f>
        <v>622.56356342404001</v>
      </c>
      <c r="Q32" s="91">
        <f>SUM(Q14,Q23:Q24)*Assumptions!Q89</f>
        <v>627.83033814857322</v>
      </c>
      <c r="R32" s="91">
        <f>SUM(R14,R23:R24)*Assumptions!R89</f>
        <v>632.9359639377401</v>
      </c>
      <c r="S32" s="91">
        <f>SUM(S14,S23:S24)*Assumptions!S89</f>
        <v>637.87525527629145</v>
      </c>
      <c r="T32" s="91">
        <f>SUM(T14,T23:T24)*Assumptions!T89</f>
        <v>642.42532400256573</v>
      </c>
      <c r="U32" s="91">
        <f>SUM(U14,U23:U24)*Assumptions!U89</f>
        <v>646.61851773910917</v>
      </c>
      <c r="V32" s="91">
        <f>SUM(V14,V23:V24)*Assumptions!V89</f>
        <v>650.64750192704878</v>
      </c>
      <c r="W32" s="91">
        <f>SUM(W14,W23:W24)*Assumptions!W89</f>
        <v>654.50980889160417</v>
      </c>
      <c r="X32" s="91">
        <f>SUM(X14,X23:X24)*Assumptions!X89</f>
        <v>658.23170817265134</v>
      </c>
    </row>
    <row r="33" spans="1:24" x14ac:dyDescent="0.2">
      <c r="A33" s="55" t="s">
        <v>40</v>
      </c>
      <c r="B33" s="55"/>
      <c r="C33" s="55"/>
      <c r="D33" s="55"/>
      <c r="E33" s="91">
        <f t="shared" ref="E33:V33" si="46">SUM(E16:E18)</f>
        <v>252.05772853836672</v>
      </c>
      <c r="F33" s="91">
        <f t="shared" si="46"/>
        <v>300.46294173384535</v>
      </c>
      <c r="G33" s="91">
        <f t="shared" si="46"/>
        <v>311.40120864754971</v>
      </c>
      <c r="H33" s="91">
        <f t="shared" si="46"/>
        <v>341.11933788260455</v>
      </c>
      <c r="I33" s="91">
        <f t="shared" si="46"/>
        <v>360.53222560636755</v>
      </c>
      <c r="J33" s="91">
        <f t="shared" si="46"/>
        <v>369.68021382689113</v>
      </c>
      <c r="K33" s="91">
        <f t="shared" si="46"/>
        <v>397.57331751796721</v>
      </c>
      <c r="L33" s="91">
        <f t="shared" si="46"/>
        <v>421.708684864882</v>
      </c>
      <c r="M33" s="91">
        <f t="shared" si="46"/>
        <v>436.34659281423689</v>
      </c>
      <c r="N33" s="91">
        <f t="shared" si="46"/>
        <v>455.10822880683014</v>
      </c>
      <c r="O33" s="91">
        <f t="shared" si="46"/>
        <v>471.96974490982501</v>
      </c>
      <c r="P33" s="91">
        <f t="shared" si="46"/>
        <v>501.87188535408148</v>
      </c>
      <c r="Q33" s="91">
        <f t="shared" si="46"/>
        <v>521.6266638106564</v>
      </c>
      <c r="R33" s="91">
        <f t="shared" si="46"/>
        <v>541.58091261425614</v>
      </c>
      <c r="S33" s="91">
        <f t="shared" si="46"/>
        <v>562.6988315859553</v>
      </c>
      <c r="T33" s="91">
        <f t="shared" si="46"/>
        <v>580.25083459561392</v>
      </c>
      <c r="U33" s="91">
        <f t="shared" si="46"/>
        <v>600.05865990950019</v>
      </c>
      <c r="V33" s="91">
        <f t="shared" si="46"/>
        <v>616.40790322616613</v>
      </c>
      <c r="W33" s="91">
        <f t="shared" ref="W33:X33" si="47">SUM(W16:W18)</f>
        <v>636.74172478404193</v>
      </c>
      <c r="X33" s="91">
        <f t="shared" si="47"/>
        <v>655.44893908536505</v>
      </c>
    </row>
    <row r="34" spans="1:24" x14ac:dyDescent="0.2">
      <c r="A34" s="223" t="s">
        <v>215</v>
      </c>
      <c r="B34" s="223"/>
      <c r="C34" s="223"/>
      <c r="D34" s="223"/>
      <c r="E34" s="224">
        <f t="shared" ref="E34:V34" si="48">E21</f>
        <v>0.1</v>
      </c>
      <c r="F34" s="224">
        <f t="shared" si="48"/>
        <v>0.10232993295512705</v>
      </c>
      <c r="G34" s="224">
        <f t="shared" si="48"/>
        <v>0.10475967636156028</v>
      </c>
      <c r="H34" s="224">
        <f t="shared" si="48"/>
        <v>0.10729888649399674</v>
      </c>
      <c r="I34" s="224">
        <f t="shared" si="48"/>
        <v>0.11004207065709137</v>
      </c>
      <c r="J34" s="224">
        <f t="shared" si="48"/>
        <v>0.11278670221194154</v>
      </c>
      <c r="K34" s="224">
        <f t="shared" si="48"/>
        <v>0.1154241672506325</v>
      </c>
      <c r="L34" s="224">
        <f t="shared" si="48"/>
        <v>0.11808292834329252</v>
      </c>
      <c r="M34" s="224">
        <f t="shared" si="48"/>
        <v>0.12078444810079304</v>
      </c>
      <c r="N34" s="224">
        <f t="shared" si="48"/>
        <v>0.1235664132418524</v>
      </c>
      <c r="O34" s="224">
        <f t="shared" si="48"/>
        <v>0.12644594449508634</v>
      </c>
      <c r="P34" s="224">
        <f t="shared" si="48"/>
        <v>0.12942513093222033</v>
      </c>
      <c r="Q34" s="224">
        <f t="shared" si="48"/>
        <v>0.13246894504385345</v>
      </c>
      <c r="R34" s="224">
        <f t="shared" si="48"/>
        <v>0.13558224233976673</v>
      </c>
      <c r="S34" s="224">
        <f t="shared" si="48"/>
        <v>0.13876146015107171</v>
      </c>
      <c r="T34" s="224">
        <f t="shared" si="48"/>
        <v>0.14201679688763522</v>
      </c>
      <c r="U34" s="224">
        <f t="shared" si="48"/>
        <v>0.14534334567864024</v>
      </c>
      <c r="V34" s="224">
        <f t="shared" si="48"/>
        <v>0.14873872901831209</v>
      </c>
      <c r="W34" s="224">
        <f t="shared" ref="W34:X34" si="49">W21</f>
        <v>0.15220134402455207</v>
      </c>
      <c r="X34" s="224">
        <f t="shared" si="49"/>
        <v>0.15574967439131626</v>
      </c>
    </row>
    <row r="35" spans="1:24" x14ac:dyDescent="0.2">
      <c r="A35" s="55" t="s">
        <v>49</v>
      </c>
      <c r="B35" s="55"/>
      <c r="C35" s="55"/>
      <c r="D35" s="55"/>
      <c r="E35" s="91">
        <f t="shared" ref="E35:V35" si="50">SUM(E19:E19)</f>
        <v>2.83</v>
      </c>
      <c r="F35" s="91">
        <f t="shared" si="50"/>
        <v>2.8959371026300955</v>
      </c>
      <c r="G35" s="91">
        <f t="shared" si="50"/>
        <v>2.9646988410321558</v>
      </c>
      <c r="H35" s="91">
        <f t="shared" si="50"/>
        <v>3.0365584877801077</v>
      </c>
      <c r="I35" s="91">
        <f t="shared" si="50"/>
        <v>3.1141905995956858</v>
      </c>
      <c r="J35" s="91">
        <f t="shared" si="50"/>
        <v>3.1918636725979455</v>
      </c>
      <c r="K35" s="91">
        <f t="shared" si="50"/>
        <v>3.2665039331928996</v>
      </c>
      <c r="L35" s="91">
        <f t="shared" si="50"/>
        <v>3.3417468721151784</v>
      </c>
      <c r="M35" s="91">
        <f t="shared" si="50"/>
        <v>3.418199881252443</v>
      </c>
      <c r="N35" s="91">
        <f t="shared" si="50"/>
        <v>3.4969294947444229</v>
      </c>
      <c r="O35" s="91">
        <f t="shared" si="50"/>
        <v>3.578420229210943</v>
      </c>
      <c r="P35" s="91">
        <f t="shared" si="50"/>
        <v>3.6627312053818355</v>
      </c>
      <c r="Q35" s="91">
        <f t="shared" si="50"/>
        <v>3.7488711447410532</v>
      </c>
      <c r="R35" s="91">
        <f t="shared" si="50"/>
        <v>3.8369774582153995</v>
      </c>
      <c r="S35" s="91">
        <f t="shared" si="50"/>
        <v>3.9269493222753309</v>
      </c>
      <c r="T35" s="91">
        <f t="shared" si="50"/>
        <v>4.0190753519200779</v>
      </c>
      <c r="U35" s="91">
        <f t="shared" si="50"/>
        <v>4.1132166827055201</v>
      </c>
      <c r="V35" s="91">
        <f t="shared" si="50"/>
        <v>4.209306031218234</v>
      </c>
      <c r="W35" s="91">
        <f t="shared" ref="W35:X35" si="51">SUM(W19:W19)</f>
        <v>4.3072980358948261</v>
      </c>
      <c r="X35" s="91">
        <f t="shared" si="51"/>
        <v>4.4077157852742532</v>
      </c>
    </row>
    <row r="36" spans="1:24" x14ac:dyDescent="0.2">
      <c r="A36" s="55" t="s">
        <v>50</v>
      </c>
      <c r="B36" s="55"/>
      <c r="C36" s="55"/>
      <c r="D36" s="55"/>
      <c r="E36" s="91">
        <f t="shared" ref="E36:V36" si="52">SUM(E20:E20)</f>
        <v>2.8571428800000001</v>
      </c>
      <c r="F36" s="91">
        <f t="shared" si="52"/>
        <v>2.9237123935361859</v>
      </c>
      <c r="G36" s="91">
        <f t="shared" si="52"/>
        <v>2.9931336342753623</v>
      </c>
      <c r="H36" s="91">
        <f t="shared" si="52"/>
        <v>3.0656824957825091</v>
      </c>
      <c r="I36" s="91">
        <f t="shared" si="52"/>
        <v>3.1440591867836547</v>
      </c>
      <c r="J36" s="91">
        <f t="shared" si="52"/>
        <v>3.2224772318352892</v>
      </c>
      <c r="K36" s="91">
        <f t="shared" si="52"/>
        <v>3.297833376400737</v>
      </c>
      <c r="L36" s="91">
        <f t="shared" si="52"/>
        <v>3.3737979796558832</v>
      </c>
      <c r="M36" s="91">
        <f t="shared" si="52"/>
        <v>3.4509842590591022</v>
      </c>
      <c r="N36" s="91">
        <f t="shared" si="52"/>
        <v>3.5304689780109615</v>
      </c>
      <c r="O36" s="91">
        <f t="shared" si="52"/>
        <v>3.6127413001901094</v>
      </c>
      <c r="P36" s="91">
        <f t="shared" si="52"/>
        <v>3.6978609133606093</v>
      </c>
      <c r="Q36" s="91">
        <f t="shared" si="52"/>
        <v>3.7848270315315706</v>
      </c>
      <c r="R36" s="91">
        <f t="shared" si="52"/>
        <v>3.8737783835549897</v>
      </c>
      <c r="S36" s="91">
        <f t="shared" si="52"/>
        <v>3.964613178890382</v>
      </c>
      <c r="T36" s="91">
        <f t="shared" si="52"/>
        <v>4.0576228006791304</v>
      </c>
      <c r="U36" s="91">
        <f t="shared" si="52"/>
        <v>4.152667052611057</v>
      </c>
      <c r="V36" s="91">
        <f t="shared" si="52"/>
        <v>4.2496780059491979</v>
      </c>
      <c r="W36" s="91">
        <f t="shared" ref="W36:X36" si="53">SUM(W20:W20)</f>
        <v>4.3486098640617952</v>
      </c>
      <c r="X36" s="91">
        <f t="shared" si="53"/>
        <v>4.4499907324946761</v>
      </c>
    </row>
    <row r="37" spans="1:24" x14ac:dyDescent="0.2">
      <c r="A37" s="88" t="s">
        <v>11</v>
      </c>
      <c r="B37" s="88"/>
      <c r="C37" s="88"/>
      <c r="D37" s="88"/>
      <c r="E37" s="92">
        <f t="shared" ref="E37:V37" si="54">SUM(E30:E36)</f>
        <v>2299.708534239528</v>
      </c>
      <c r="F37" s="92">
        <f t="shared" si="54"/>
        <v>2407.1036917095025</v>
      </c>
      <c r="G37" s="92">
        <f t="shared" si="54"/>
        <v>2456.3208223080628</v>
      </c>
      <c r="H37" s="92">
        <f t="shared" si="54"/>
        <v>2535.1671580140533</v>
      </c>
      <c r="I37" s="92">
        <f t="shared" si="54"/>
        <v>2693.1114486839929</v>
      </c>
      <c r="J37" s="92">
        <f t="shared" si="54"/>
        <v>2813.3500426125629</v>
      </c>
      <c r="K37" s="92">
        <f t="shared" si="54"/>
        <v>2876.805245946854</v>
      </c>
      <c r="L37" s="92">
        <f t="shared" si="54"/>
        <v>2935.5770306758618</v>
      </c>
      <c r="M37" s="92">
        <f t="shared" si="54"/>
        <v>2984.0466236974771</v>
      </c>
      <c r="N37" s="92">
        <f t="shared" si="54"/>
        <v>3036.0611615755161</v>
      </c>
      <c r="O37" s="92">
        <f t="shared" si="54"/>
        <v>3080.662808286942</v>
      </c>
      <c r="P37" s="92">
        <f t="shared" si="54"/>
        <v>3133.6464218343594</v>
      </c>
      <c r="Q37" s="92">
        <f t="shared" si="54"/>
        <v>3175.7783207748785</v>
      </c>
      <c r="R37" s="92">
        <f t="shared" si="54"/>
        <v>3217.4344220315988</v>
      </c>
      <c r="S37" s="92">
        <f t="shared" si="54"/>
        <v>3259.5568608103099</v>
      </c>
      <c r="T37" s="92">
        <f t="shared" si="54"/>
        <v>3296.4771034554378</v>
      </c>
      <c r="U37" s="92">
        <f t="shared" si="54"/>
        <v>3334.152958800441</v>
      </c>
      <c r="V37" s="92">
        <f t="shared" si="54"/>
        <v>3367.6820252146558</v>
      </c>
      <c r="W37" s="92">
        <f t="shared" ref="W37:X37" si="55">SUM(W30:W36)</f>
        <v>3404.4969682163332</v>
      </c>
      <c r="X37" s="92">
        <f t="shared" si="55"/>
        <v>3439.0984056533016</v>
      </c>
    </row>
    <row r="38" spans="1:24" x14ac:dyDescent="0.2">
      <c r="A38" s="53"/>
      <c r="B38" s="53"/>
      <c r="C38" s="53"/>
      <c r="D38" s="53"/>
      <c r="E38" s="56"/>
      <c r="F38" s="56"/>
      <c r="G38" s="56"/>
      <c r="H38" s="56"/>
      <c r="I38" s="56"/>
      <c r="J38" s="56"/>
      <c r="K38" s="56"/>
      <c r="L38" s="56"/>
      <c r="M38" s="56"/>
      <c r="N38" s="56"/>
      <c r="O38" s="56"/>
      <c r="P38" s="56"/>
      <c r="Q38" s="56"/>
      <c r="R38" s="56"/>
      <c r="S38" s="56"/>
      <c r="T38" s="56"/>
      <c r="U38" s="56"/>
      <c r="V38" s="56"/>
      <c r="W38" s="56"/>
      <c r="X38" s="56"/>
    </row>
    <row r="39" spans="1:24" s="27" customFormat="1" x14ac:dyDescent="0.2">
      <c r="A39" s="64" t="s">
        <v>322</v>
      </c>
      <c r="B39" s="64"/>
      <c r="C39" s="64"/>
      <c r="D39" s="64"/>
      <c r="E39" s="87"/>
      <c r="F39" s="87"/>
      <c r="G39" s="87"/>
      <c r="H39" s="87"/>
      <c r="I39" s="87"/>
      <c r="J39" s="87"/>
      <c r="K39" s="87"/>
      <c r="L39" s="87"/>
      <c r="M39" s="87"/>
      <c r="N39" s="87"/>
      <c r="O39" s="87"/>
      <c r="P39" s="87"/>
      <c r="Q39" s="87"/>
      <c r="R39" s="87"/>
      <c r="S39" s="87"/>
      <c r="T39" s="87"/>
      <c r="U39" s="87"/>
      <c r="V39" s="87"/>
      <c r="W39" s="87"/>
      <c r="X39" s="87"/>
    </row>
    <row r="40" spans="1:24" s="27" customFormat="1" x14ac:dyDescent="0.2">
      <c r="A40" s="62"/>
      <c r="B40" s="62"/>
      <c r="C40" s="62"/>
      <c r="D40" s="62"/>
      <c r="E40" s="86"/>
      <c r="F40" s="86"/>
      <c r="G40" s="86"/>
      <c r="H40" s="86"/>
      <c r="I40" s="86"/>
      <c r="J40" s="86"/>
      <c r="K40" s="86"/>
      <c r="L40" s="86"/>
      <c r="M40" s="86"/>
      <c r="N40" s="86"/>
      <c r="O40" s="86"/>
      <c r="P40" s="86"/>
      <c r="Q40" s="86"/>
      <c r="R40" s="86"/>
      <c r="S40" s="86"/>
      <c r="T40" s="86"/>
      <c r="U40" s="86"/>
      <c r="V40" s="86"/>
      <c r="W40" s="86"/>
      <c r="X40" s="86"/>
    </row>
    <row r="41" spans="1:24" s="52" customFormat="1" x14ac:dyDescent="0.2">
      <c r="A41" s="73" t="s">
        <v>51</v>
      </c>
      <c r="B41" s="74"/>
      <c r="C41" s="74"/>
      <c r="D41" s="74"/>
      <c r="E41" s="75">
        <f>E9</f>
        <v>2020</v>
      </c>
      <c r="F41" s="75">
        <f t="shared" ref="F41" si="56">E41+1</f>
        <v>2021</v>
      </c>
      <c r="G41" s="75">
        <f t="shared" ref="G41" si="57">F41+1</f>
        <v>2022</v>
      </c>
      <c r="H41" s="75">
        <f t="shared" ref="H41" si="58">G41+1</f>
        <v>2023</v>
      </c>
      <c r="I41" s="75">
        <f t="shared" ref="I41" si="59">H41+1</f>
        <v>2024</v>
      </c>
      <c r="J41" s="75">
        <f t="shared" ref="J41" si="60">I41+1</f>
        <v>2025</v>
      </c>
      <c r="K41" s="75">
        <f t="shared" ref="K41" si="61">J41+1</f>
        <v>2026</v>
      </c>
      <c r="L41" s="75">
        <f t="shared" ref="L41" si="62">K41+1</f>
        <v>2027</v>
      </c>
      <c r="M41" s="75">
        <f t="shared" ref="M41" si="63">L41+1</f>
        <v>2028</v>
      </c>
      <c r="N41" s="75">
        <f t="shared" ref="N41" si="64">M41+1</f>
        <v>2029</v>
      </c>
      <c r="O41" s="75">
        <f t="shared" ref="O41" si="65">N41+1</f>
        <v>2030</v>
      </c>
      <c r="P41" s="75">
        <f t="shared" ref="P41" si="66">O41+1</f>
        <v>2031</v>
      </c>
      <c r="Q41" s="75">
        <f t="shared" ref="Q41" si="67">P41+1</f>
        <v>2032</v>
      </c>
      <c r="R41" s="75">
        <f t="shared" ref="R41" si="68">Q41+1</f>
        <v>2033</v>
      </c>
      <c r="S41" s="75">
        <f t="shared" ref="S41" si="69">R41+1</f>
        <v>2034</v>
      </c>
      <c r="T41" s="75">
        <f t="shared" ref="T41" si="70">S41+1</f>
        <v>2035</v>
      </c>
      <c r="U41" s="75">
        <f t="shared" ref="U41" si="71">T41+1</f>
        <v>2036</v>
      </c>
      <c r="V41" s="75">
        <f t="shared" ref="V41" si="72">U41+1</f>
        <v>2037</v>
      </c>
      <c r="W41" s="75">
        <f t="shared" ref="W41" si="73">V41+1</f>
        <v>2038</v>
      </c>
      <c r="X41" s="75">
        <f t="shared" ref="X41" si="74">W41+1</f>
        <v>2039</v>
      </c>
    </row>
    <row r="42" spans="1:24" x14ac:dyDescent="0.2">
      <c r="A42" s="54" t="s">
        <v>54</v>
      </c>
      <c r="B42" s="54"/>
      <c r="C42" s="54"/>
      <c r="D42" s="54"/>
      <c r="E42" s="101">
        <f>SUM(E$30:E$30)*Assumptions!E$92</f>
        <v>986.31980868553569</v>
      </c>
      <c r="F42" s="101">
        <f>SUM(F$30:F$30)*Assumptions!F$92</f>
        <v>1014.74969832452</v>
      </c>
      <c r="G42" s="101">
        <f>SUM(G$30:G$30)*Assumptions!G$92</f>
        <v>1033.1723349959479</v>
      </c>
      <c r="H42" s="101">
        <f>SUM(H$30:H$30)*Assumptions!H$92</f>
        <v>1056.8326736569732</v>
      </c>
      <c r="I42" s="101">
        <f>SUM(I$30:I$30)*Assumptions!I$92</f>
        <v>1123.673417780318</v>
      </c>
      <c r="J42" s="101">
        <f>SUM(J$30:J$30)*Assumptions!J$92</f>
        <v>1177.2588770422653</v>
      </c>
      <c r="K42" s="101">
        <f>SUM(K$30:K$30)*Assumptions!K$92</f>
        <v>1194.3633772803685</v>
      </c>
      <c r="L42" s="101">
        <f>SUM(L$30:L$30)*Assumptions!L$92</f>
        <v>1211.0201324802049</v>
      </c>
      <c r="M42" s="101">
        <f>SUM(M$30:M$30)*Assumptions!M$92</f>
        <v>1227.2869673902105</v>
      </c>
      <c r="N42" s="101">
        <f>SUM(N$30:N$30)*Assumptions!N$92</f>
        <v>1243.2719729431092</v>
      </c>
      <c r="O42" s="101">
        <f>SUM(O$30:O$30)*Assumptions!O$92</f>
        <v>1256.5913134673576</v>
      </c>
      <c r="P42" s="101">
        <f>SUM(P$30:P$30)*Assumptions!P$92</f>
        <v>1267.6575092029775</v>
      </c>
      <c r="Q42" s="101">
        <f>SUM(Q$30:Q$30)*Assumptions!Q$92</f>
        <v>1278.3816615965338</v>
      </c>
      <c r="R42" s="101">
        <f>SUM(R$30:R$30)*Assumptions!R$92</f>
        <v>1288.7776841893458</v>
      </c>
      <c r="S42" s="101">
        <f>SUM(S$30:S$30)*Assumptions!S$92</f>
        <v>1298.8350182887252</v>
      </c>
      <c r="T42" s="101">
        <f>SUM(T$30:T$30)*Assumptions!T$92</f>
        <v>1308.0998213178782</v>
      </c>
      <c r="U42" s="101">
        <f>SUM(U$30:U$30)*Assumptions!U$92</f>
        <v>1316.6379591723282</v>
      </c>
      <c r="V42" s="101">
        <f>SUM(V$30:V$30)*Assumptions!V$92</f>
        <v>1324.8417352369147</v>
      </c>
      <c r="W42" s="101">
        <f>SUM(W$30:W$30)*Assumptions!W$92</f>
        <v>1332.7061248576911</v>
      </c>
      <c r="X42" s="101">
        <f>SUM(X$30:X$30)*Assumptions!X$92</f>
        <v>1340.2846178009136</v>
      </c>
    </row>
    <row r="43" spans="1:24" x14ac:dyDescent="0.2">
      <c r="A43" s="55" t="s">
        <v>56</v>
      </c>
      <c r="B43" s="55"/>
      <c r="C43" s="55"/>
      <c r="D43" s="55"/>
      <c r="E43" s="91">
        <f>SUM(E$30:E$30)*Assumptions!E$93</f>
        <v>69.173773668049719</v>
      </c>
      <c r="F43" s="91">
        <f>SUM(F$30:F$30)*Assumptions!F$93</f>
        <v>71.167653071035261</v>
      </c>
      <c r="G43" s="91">
        <f>SUM(G$30:G$30)*Assumptions!G$93</f>
        <v>72.459691706228455</v>
      </c>
      <c r="H43" s="91">
        <f>SUM(H$30:H$30)*Assumptions!H$93</f>
        <v>74.119067191780502</v>
      </c>
      <c r="I43" s="91">
        <f>SUM(I$30:I$30)*Assumptions!I$93</f>
        <v>78.806823095166621</v>
      </c>
      <c r="J43" s="91">
        <f>SUM(J$30:J$30)*Assumptions!J$93</f>
        <v>82.564943329844212</v>
      </c>
      <c r="K43" s="91">
        <f>SUM(K$30:K$30)*Assumptions!K$93</f>
        <v>83.764536826554433</v>
      </c>
      <c r="L43" s="91">
        <f>SUM(L$30:L$30)*Assumptions!L$93</f>
        <v>84.932728526742579</v>
      </c>
      <c r="M43" s="91">
        <f>SUM(M$30:M$30)*Assumptions!M$93</f>
        <v>86.073573865598604</v>
      </c>
      <c r="N43" s="91">
        <f>SUM(N$30:N$30)*Assumptions!N$93</f>
        <v>87.194653607140395</v>
      </c>
      <c r="O43" s="91">
        <f>SUM(O$30:O$30)*Assumptions!O$93</f>
        <v>88.128781705064256</v>
      </c>
      <c r="P43" s="91">
        <f>SUM(P$30:P$30)*Assumptions!P$93</f>
        <v>88.904889527741233</v>
      </c>
      <c r="Q43" s="91">
        <f>SUM(Q$30:Q$30)*Assumptions!Q$93</f>
        <v>89.657008753088817</v>
      </c>
      <c r="R43" s="91">
        <f>SUM(R$30:R$30)*Assumptions!R$93</f>
        <v>90.38611518241369</v>
      </c>
      <c r="S43" s="91">
        <f>SUM(S$30:S$30)*Assumptions!S$93</f>
        <v>91.091468300710673</v>
      </c>
      <c r="T43" s="91">
        <f>SUM(T$30:T$30)*Assumptions!T$93</f>
        <v>91.741238671511397</v>
      </c>
      <c r="U43" s="91">
        <f>SUM(U$30:U$30)*Assumptions!U$93</f>
        <v>92.340045681458236</v>
      </c>
      <c r="V43" s="91">
        <f>SUM(V$30:V$30)*Assumptions!V$93</f>
        <v>92.915402825984572</v>
      </c>
      <c r="W43" s="91">
        <f>SUM(W$30:W$30)*Assumptions!W$93</f>
        <v>93.466957709983049</v>
      </c>
      <c r="X43" s="91">
        <f>SUM(X$30:X$30)*Assumptions!X$93</f>
        <v>93.99846174243072</v>
      </c>
    </row>
    <row r="44" spans="1:24" s="27" customFormat="1" x14ac:dyDescent="0.2">
      <c r="A44" s="62"/>
      <c r="B44" s="62"/>
      <c r="C44" s="62"/>
      <c r="D44" s="62"/>
      <c r="E44" s="86"/>
      <c r="F44" s="86"/>
      <c r="G44" s="86"/>
      <c r="H44" s="86"/>
      <c r="I44" s="86"/>
      <c r="J44" s="86"/>
      <c r="K44" s="86"/>
      <c r="L44" s="86"/>
      <c r="M44" s="86"/>
      <c r="N44" s="86"/>
      <c r="O44" s="86"/>
      <c r="P44" s="86"/>
      <c r="Q44" s="86"/>
      <c r="R44" s="86"/>
      <c r="S44" s="86"/>
      <c r="T44" s="86"/>
      <c r="U44" s="86"/>
      <c r="V44" s="86"/>
      <c r="W44" s="86"/>
      <c r="X44" s="86"/>
    </row>
    <row r="45" spans="1:24" s="52" customFormat="1" x14ac:dyDescent="0.2">
      <c r="A45" s="96" t="s">
        <v>52</v>
      </c>
      <c r="B45" s="74"/>
      <c r="C45" s="74"/>
      <c r="D45" s="74"/>
      <c r="E45" s="75">
        <f>E41</f>
        <v>2020</v>
      </c>
      <c r="F45" s="75">
        <f t="shared" ref="F45" si="75">E45+1</f>
        <v>2021</v>
      </c>
      <c r="G45" s="75">
        <f t="shared" ref="G45" si="76">F45+1</f>
        <v>2022</v>
      </c>
      <c r="H45" s="75">
        <f t="shared" ref="H45" si="77">G45+1</f>
        <v>2023</v>
      </c>
      <c r="I45" s="75">
        <f t="shared" ref="I45" si="78">H45+1</f>
        <v>2024</v>
      </c>
      <c r="J45" s="75">
        <f t="shared" ref="J45" si="79">I45+1</f>
        <v>2025</v>
      </c>
      <c r="K45" s="75">
        <f t="shared" ref="K45" si="80">J45+1</f>
        <v>2026</v>
      </c>
      <c r="L45" s="75">
        <f t="shared" ref="L45" si="81">K45+1</f>
        <v>2027</v>
      </c>
      <c r="M45" s="75">
        <f t="shared" ref="M45" si="82">L45+1</f>
        <v>2028</v>
      </c>
      <c r="N45" s="75">
        <f t="shared" ref="N45" si="83">M45+1</f>
        <v>2029</v>
      </c>
      <c r="O45" s="75">
        <f t="shared" ref="O45" si="84">N45+1</f>
        <v>2030</v>
      </c>
      <c r="P45" s="75">
        <f t="shared" ref="P45" si="85">O45+1</f>
        <v>2031</v>
      </c>
      <c r="Q45" s="75">
        <f t="shared" ref="Q45" si="86">P45+1</f>
        <v>2032</v>
      </c>
      <c r="R45" s="75">
        <f t="shared" ref="R45" si="87">Q45+1</f>
        <v>2033</v>
      </c>
      <c r="S45" s="75">
        <f t="shared" ref="S45" si="88">R45+1</f>
        <v>2034</v>
      </c>
      <c r="T45" s="75">
        <f t="shared" ref="T45" si="89">S45+1</f>
        <v>2035</v>
      </c>
      <c r="U45" s="75">
        <f t="shared" ref="U45" si="90">T45+1</f>
        <v>2036</v>
      </c>
      <c r="V45" s="75">
        <f t="shared" ref="V45" si="91">U45+1</f>
        <v>2037</v>
      </c>
      <c r="W45" s="75">
        <f t="shared" ref="W45" si="92">V45+1</f>
        <v>2038</v>
      </c>
      <c r="X45" s="75">
        <f t="shared" ref="X45" si="93">W45+1</f>
        <v>2039</v>
      </c>
    </row>
    <row r="46" spans="1:24" x14ac:dyDescent="0.2">
      <c r="A46" s="54" t="s">
        <v>57</v>
      </c>
      <c r="B46" s="54"/>
      <c r="C46" s="54"/>
      <c r="D46" s="54"/>
      <c r="E46" s="101">
        <f>E$31*Assumptions!E$96</f>
        <v>449.48673083644064</v>
      </c>
      <c r="F46" s="101">
        <f>F$31*Assumptions!F$96</f>
        <v>462.44283091608742</v>
      </c>
      <c r="G46" s="101">
        <f>G$31*Assumptions!G$96</f>
        <v>470.83841484120734</v>
      </c>
      <c r="H46" s="101">
        <f>H$31*Assumptions!H$96</f>
        <v>481.6209299864729</v>
      </c>
      <c r="I46" s="101">
        <f>I$31*Assumptions!I$96</f>
        <v>512.08166624879834</v>
      </c>
      <c r="J46" s="101">
        <f>J$31*Assumptions!J$96</f>
        <v>536.50168974616815</v>
      </c>
      <c r="K46" s="101">
        <f>K$31*Assumptions!K$96</f>
        <v>544.29657110910262</v>
      </c>
      <c r="L46" s="101">
        <f>L$31*Assumptions!L$96</f>
        <v>551.88740561854559</v>
      </c>
      <c r="M46" s="101">
        <f>M$31*Assumptions!M$96</f>
        <v>559.30054523144543</v>
      </c>
      <c r="N46" s="101">
        <f>N$31*Assumptions!N$96</f>
        <v>566.58524926466396</v>
      </c>
      <c r="O46" s="101">
        <f>O$31*Assumptions!O$96</f>
        <v>572.65515354562979</v>
      </c>
      <c r="P46" s="101">
        <f>P$31*Assumptions!P$96</f>
        <v>577.69825224465001</v>
      </c>
      <c r="Q46" s="101">
        <f>Q$31*Assumptions!Q$96</f>
        <v>582.58547458158705</v>
      </c>
      <c r="R46" s="101">
        <f>R$31*Assumptions!R$96</f>
        <v>587.32316125055127</v>
      </c>
      <c r="S46" s="101">
        <f>S$31*Assumptions!S$96</f>
        <v>591.90650043268192</v>
      </c>
      <c r="T46" s="101">
        <f>T$31*Assumptions!T$96</f>
        <v>596.1286664976293</v>
      </c>
      <c r="U46" s="101">
        <f>U$31*Assumptions!U$96</f>
        <v>600.01967592259678</v>
      </c>
      <c r="V46" s="101">
        <f>V$31*Assumptions!V$96</f>
        <v>603.75830963076453</v>
      </c>
      <c r="W46" s="101">
        <f>W$31*Assumptions!W$96</f>
        <v>607.34227778139689</v>
      </c>
      <c r="X46" s="101">
        <f>X$31*Assumptions!X$96</f>
        <v>610.79595678867122</v>
      </c>
    </row>
    <row r="47" spans="1:24" x14ac:dyDescent="0.2">
      <c r="A47" s="55" t="s">
        <v>56</v>
      </c>
      <c r="B47" s="55"/>
      <c r="C47" s="55"/>
      <c r="D47" s="55"/>
      <c r="E47" s="91">
        <f>E$31*Assumptions!E$97</f>
        <v>52.488495095813526</v>
      </c>
      <c r="F47" s="91">
        <f>F$31*Assumptions!F$97</f>
        <v>54.001434519466642</v>
      </c>
      <c r="G47" s="91">
        <f>G$31*Assumptions!G$97</f>
        <v>54.981822894580873</v>
      </c>
      <c r="H47" s="91">
        <f>H$31*Assumptions!H$97</f>
        <v>56.240943474780487</v>
      </c>
      <c r="I47" s="91">
        <f>I$31*Assumptions!I$97</f>
        <v>59.797974408585127</v>
      </c>
      <c r="J47" s="91">
        <f>J$31*Assumptions!J$97</f>
        <v>62.649605381530918</v>
      </c>
      <c r="K47" s="91">
        <f>K$31*Assumptions!K$97</f>
        <v>63.559847139790328</v>
      </c>
      <c r="L47" s="91">
        <f>L$31*Assumptions!L$97</f>
        <v>64.446261471044551</v>
      </c>
      <c r="M47" s="91">
        <f>M$31*Assumptions!M$97</f>
        <v>65.311925606428915</v>
      </c>
      <c r="N47" s="91">
        <f>N$31*Assumptions!N$97</f>
        <v>66.162591767831529</v>
      </c>
      <c r="O47" s="91">
        <f>O$31*Assumptions!O$97</f>
        <v>66.871400547326886</v>
      </c>
      <c r="P47" s="91">
        <f>P$31*Assumptions!P$97</f>
        <v>67.460304831194492</v>
      </c>
      <c r="Q47" s="91">
        <f>Q$31*Assumptions!Q$97</f>
        <v>68.031006763122747</v>
      </c>
      <c r="R47" s="91">
        <f>R$31*Assumptions!R$97</f>
        <v>68.584246773181945</v>
      </c>
      <c r="S47" s="91">
        <f>S$31*Assumptions!S$97</f>
        <v>69.119462964627772</v>
      </c>
      <c r="T47" s="91">
        <f>T$31*Assumptions!T$97</f>
        <v>69.612503420752688</v>
      </c>
      <c r="U47" s="91">
        <f>U$31*Assumptions!U$97</f>
        <v>70.066873294453117</v>
      </c>
      <c r="V47" s="91">
        <f>V$31*Assumptions!V$97</f>
        <v>70.503449601591328</v>
      </c>
      <c r="W47" s="91">
        <f>W$31*Assumptions!W$97</f>
        <v>70.921964947634933</v>
      </c>
      <c r="X47" s="91">
        <f>X$31*Assumptions!X$97</f>
        <v>71.325265871109352</v>
      </c>
    </row>
    <row r="48" spans="1:24" s="27" customFormat="1" x14ac:dyDescent="0.2">
      <c r="A48" s="62"/>
      <c r="B48" s="62"/>
      <c r="C48" s="62"/>
      <c r="D48" s="62"/>
      <c r="E48" s="86"/>
      <c r="F48" s="86"/>
      <c r="G48" s="86"/>
      <c r="H48" s="86"/>
      <c r="I48" s="86"/>
      <c r="J48" s="86"/>
      <c r="K48" s="86"/>
      <c r="L48" s="86"/>
      <c r="M48" s="86"/>
      <c r="N48" s="86"/>
      <c r="O48" s="86"/>
      <c r="P48" s="86"/>
      <c r="Q48" s="86"/>
      <c r="R48" s="86"/>
      <c r="S48" s="86"/>
      <c r="T48" s="86"/>
      <c r="U48" s="86"/>
      <c r="V48" s="86"/>
      <c r="W48" s="86"/>
      <c r="X48" s="86"/>
    </row>
    <row r="49" spans="1:24" s="52" customFormat="1" x14ac:dyDescent="0.2">
      <c r="A49" s="96" t="s">
        <v>53</v>
      </c>
      <c r="B49" s="74"/>
      <c r="C49" s="74"/>
      <c r="D49" s="74"/>
      <c r="E49" s="75">
        <f>E9</f>
        <v>2020</v>
      </c>
      <c r="F49" s="75">
        <f t="shared" ref="F49" si="94">E49+1</f>
        <v>2021</v>
      </c>
      <c r="G49" s="75">
        <f t="shared" ref="G49" si="95">F49+1</f>
        <v>2022</v>
      </c>
      <c r="H49" s="75">
        <f t="shared" ref="H49" si="96">G49+1</f>
        <v>2023</v>
      </c>
      <c r="I49" s="75">
        <f t="shared" ref="I49" si="97">H49+1</f>
        <v>2024</v>
      </c>
      <c r="J49" s="75">
        <f t="shared" ref="J49" si="98">I49+1</f>
        <v>2025</v>
      </c>
      <c r="K49" s="75">
        <f t="shared" ref="K49" si="99">J49+1</f>
        <v>2026</v>
      </c>
      <c r="L49" s="75">
        <f t="shared" ref="L49" si="100">K49+1</f>
        <v>2027</v>
      </c>
      <c r="M49" s="75">
        <f t="shared" ref="M49" si="101">L49+1</f>
        <v>2028</v>
      </c>
      <c r="N49" s="75">
        <f t="shared" ref="N49" si="102">M49+1</f>
        <v>2029</v>
      </c>
      <c r="O49" s="75">
        <f t="shared" ref="O49" si="103">N49+1</f>
        <v>2030</v>
      </c>
      <c r="P49" s="75">
        <f t="shared" ref="P49" si="104">O49+1</f>
        <v>2031</v>
      </c>
      <c r="Q49" s="75">
        <f t="shared" ref="Q49" si="105">P49+1</f>
        <v>2032</v>
      </c>
      <c r="R49" s="75">
        <f t="shared" ref="R49" si="106">Q49+1</f>
        <v>2033</v>
      </c>
      <c r="S49" s="75">
        <f t="shared" ref="S49" si="107">R49+1</f>
        <v>2034</v>
      </c>
      <c r="T49" s="75">
        <f t="shared" ref="T49" si="108">S49+1</f>
        <v>2035</v>
      </c>
      <c r="U49" s="75">
        <f t="shared" ref="U49" si="109">T49+1</f>
        <v>2036</v>
      </c>
      <c r="V49" s="75">
        <f t="shared" ref="V49" si="110">U49+1</f>
        <v>2037</v>
      </c>
      <c r="W49" s="75">
        <f t="shared" ref="W49" si="111">V49+1</f>
        <v>2038</v>
      </c>
      <c r="X49" s="75">
        <f t="shared" ref="X49" si="112">W49+1</f>
        <v>2039</v>
      </c>
    </row>
    <row r="50" spans="1:24" x14ac:dyDescent="0.2">
      <c r="A50" s="54" t="s">
        <v>55</v>
      </c>
      <c r="B50" s="54"/>
      <c r="C50" s="54"/>
      <c r="D50" s="54"/>
      <c r="E50" s="101">
        <f>E$32*Assumptions!E$100</f>
        <v>78.282378946766755</v>
      </c>
      <c r="F50" s="101">
        <f>F$32*Assumptions!F$100</f>
        <v>80.538806704310971</v>
      </c>
      <c r="G50" s="101">
        <f>G$32*Assumptions!G$100</f>
        <v>82.000977302945998</v>
      </c>
      <c r="H50" s="101">
        <f>H$32*Assumptions!H$100</f>
        <v>83.878854620993181</v>
      </c>
      <c r="I50" s="101">
        <f>I$32*Assumptions!I$100</f>
        <v>89.183880855355056</v>
      </c>
      <c r="J50" s="101">
        <f>J$32*Assumptions!J$100</f>
        <v>93.436859646859503</v>
      </c>
      <c r="K50" s="101">
        <f>K$32*Assumptions!K$100</f>
        <v>94.794412194768569</v>
      </c>
      <c r="L50" s="101">
        <f>L$32*Assumptions!L$100</f>
        <v>96.116428047126718</v>
      </c>
      <c r="M50" s="101">
        <f>M$32*Assumptions!M$100</f>
        <v>97.407496647266271</v>
      </c>
      <c r="N50" s="101">
        <f>N$32*Assumptions!N$100</f>
        <v>98.676196972595704</v>
      </c>
      <c r="O50" s="101">
        <f>O$32*Assumptions!O$100</f>
        <v>99.733328394938127</v>
      </c>
      <c r="P50" s="101">
        <f>P$32*Assumptions!P$100</f>
        <v>100.61163188275854</v>
      </c>
      <c r="Q50" s="101">
        <f>Q$32*Assumptions!Q$100</f>
        <v>101.46278802315288</v>
      </c>
      <c r="R50" s="101">
        <f>R$32*Assumptions!R$100</f>
        <v>102.28790110816152</v>
      </c>
      <c r="S50" s="101">
        <f>S$32*Assumptions!S$100</f>
        <v>103.08613311387488</v>
      </c>
      <c r="T50" s="101">
        <f>T$32*Assumptions!T$100</f>
        <v>103.8214633943869</v>
      </c>
      <c r="U50" s="101">
        <f>U$32*Assumptions!U$100</f>
        <v>104.49911960400165</v>
      </c>
      <c r="V50" s="101">
        <f>V$32*Assumptions!V$100</f>
        <v>105.15023813678083</v>
      </c>
      <c r="W50" s="101">
        <f>W$32*Assumptions!W$100</f>
        <v>105.77442019523417</v>
      </c>
      <c r="X50" s="101">
        <f>X$32*Assumptions!X$100</f>
        <v>106.37591116317628</v>
      </c>
    </row>
    <row r="51" spans="1:24" x14ac:dyDescent="0.2">
      <c r="A51" s="55" t="s">
        <v>147</v>
      </c>
      <c r="B51" s="55"/>
      <c r="C51" s="55"/>
      <c r="D51" s="55"/>
      <c r="E51" s="91">
        <f>E$32*Assumptions!E$101</f>
        <v>175.35117278924699</v>
      </c>
      <c r="F51" s="91">
        <f>F$32*Assumptions!F$101</f>
        <v>180.40553187903203</v>
      </c>
      <c r="G51" s="91">
        <f>G$32*Assumptions!G$101</f>
        <v>183.68076869143087</v>
      </c>
      <c r="H51" s="91">
        <f>H$32*Assumptions!H$101</f>
        <v>187.88718135420677</v>
      </c>
      <c r="I51" s="91">
        <f>I$32*Assumptions!I$101</f>
        <v>199.77034822252151</v>
      </c>
      <c r="J51" s="91">
        <f>J$32*Assumptions!J$101</f>
        <v>209.29694704299462</v>
      </c>
      <c r="K51" s="91">
        <f>K$32*Assumptions!K$101</f>
        <v>212.33784123402023</v>
      </c>
      <c r="L51" s="91">
        <f>L$32*Assumptions!L$101</f>
        <v>215.29913384259839</v>
      </c>
      <c r="M51" s="91">
        <f>M$32*Assumptions!M$101</f>
        <v>218.19110514229268</v>
      </c>
      <c r="N51" s="91">
        <f>N$32*Assumptions!N$101</f>
        <v>221.03297189388817</v>
      </c>
      <c r="O51" s="91">
        <f>O$32*Assumptions!O$101</f>
        <v>223.40092796770858</v>
      </c>
      <c r="P51" s="91">
        <f>P$32*Assumptions!P$101</f>
        <v>225.36831256595806</v>
      </c>
      <c r="Q51" s="91">
        <f>Q$32*Assumptions!Q$101</f>
        <v>227.27488757623476</v>
      </c>
      <c r="R51" s="91">
        <f>R$32*Assumptions!R$101</f>
        <v>229.12312659357997</v>
      </c>
      <c r="S51" s="91">
        <f>S$32*Assumptions!S$101</f>
        <v>230.91115245895298</v>
      </c>
      <c r="T51" s="91">
        <f>T$32*Assumptions!T$101</f>
        <v>232.55827954949413</v>
      </c>
      <c r="U51" s="91">
        <f>U$32*Assumptions!U$101</f>
        <v>234.07621772028821</v>
      </c>
      <c r="V51" s="91">
        <f>V$32*Assumptions!V$101</f>
        <v>235.5347119546712</v>
      </c>
      <c r="W51" s="91">
        <f>W$32*Assumptions!W$101</f>
        <v>236.93286895317308</v>
      </c>
      <c r="X51" s="91">
        <f>X$32*Assumptions!X$101</f>
        <v>238.2801983019977</v>
      </c>
    </row>
    <row r="52" spans="1:24" x14ac:dyDescent="0.2">
      <c r="A52" s="57" t="s">
        <v>148</v>
      </c>
      <c r="B52" s="57"/>
      <c r="C52" s="57"/>
      <c r="D52" s="57"/>
      <c r="E52" s="91">
        <f>E$32*Assumptions!E$102</f>
        <v>97.830569678916916</v>
      </c>
      <c r="F52" s="91">
        <f>F$32*Assumptions!F$102</f>
        <v>100.65045859810756</v>
      </c>
      <c r="G52" s="91">
        <f>G$32*Assumptions!G$102</f>
        <v>102.47775338087727</v>
      </c>
      <c r="H52" s="91">
        <f>H$32*Assumptions!H$102</f>
        <v>104.82456258983861</v>
      </c>
      <c r="I52" s="91">
        <f>I$32*Assumptions!I$102</f>
        <v>111.45432711222423</v>
      </c>
      <c r="J52" s="91">
        <f>J$32*Assumptions!J$102</f>
        <v>116.76933342147508</v>
      </c>
      <c r="K52" s="91">
        <f>K$32*Assumptions!K$102</f>
        <v>118.46588558197244</v>
      </c>
      <c r="L52" s="91">
        <f>L$32*Assumptions!L$102</f>
        <v>120.11802704344622</v>
      </c>
      <c r="M52" s="91">
        <f>M$32*Assumptions!M$102</f>
        <v>121.73149329658736</v>
      </c>
      <c r="N52" s="91">
        <f>N$32*Assumptions!N$102</f>
        <v>123.31700560789828</v>
      </c>
      <c r="O52" s="91">
        <f>O$32*Assumptions!O$102</f>
        <v>124.63811734038114</v>
      </c>
      <c r="P52" s="91">
        <f>P$32*Assumptions!P$102</f>
        <v>125.73574533432448</v>
      </c>
      <c r="Q52" s="91">
        <f>Q$32*Assumptions!Q$102</f>
        <v>126.79944691341305</v>
      </c>
      <c r="R52" s="91">
        <f>R$32*Assumptions!R$102</f>
        <v>127.83060212665478</v>
      </c>
      <c r="S52" s="91">
        <f>S$32*Assumptions!S$102</f>
        <v>128.82816368400074</v>
      </c>
      <c r="T52" s="91">
        <f>T$32*Assumptions!T$102</f>
        <v>129.74711608698746</v>
      </c>
      <c r="U52" s="91">
        <f>U$32*Assumptions!U$102</f>
        <v>130.59399240736792</v>
      </c>
      <c r="V52" s="91">
        <f>V$32*Assumptions!V$102</f>
        <v>131.40770422664727</v>
      </c>
      <c r="W52" s="91">
        <f>W$32*Assumptions!W$102</f>
        <v>132.18775316209636</v>
      </c>
      <c r="X52" s="91">
        <f>X$32*Assumptions!X$102</f>
        <v>132.93944472847704</v>
      </c>
    </row>
    <row r="53" spans="1:24" x14ac:dyDescent="0.2">
      <c r="A53" s="57" t="s">
        <v>149</v>
      </c>
      <c r="B53" s="57"/>
      <c r="C53" s="57"/>
      <c r="D53" s="57"/>
      <c r="E53" s="91">
        <f>E$32*Assumptions!E$103</f>
        <v>82.01742388560244</v>
      </c>
      <c r="F53" s="91">
        <f>F$32*Assumptions!F$103</f>
        <v>84.381511364134369</v>
      </c>
      <c r="G53" s="91">
        <f>G$32*Assumptions!G$103</f>
        <v>85.91344572017718</v>
      </c>
      <c r="H53" s="91">
        <f>H$32*Assumptions!H$103</f>
        <v>87.880921186197057</v>
      </c>
      <c r="I53" s="91">
        <f>I$32*Assumptions!I$103</f>
        <v>93.439063276944935</v>
      </c>
      <c r="J53" s="91">
        <f>J$32*Assumptions!J$103</f>
        <v>97.894962152431305</v>
      </c>
      <c r="K53" s="91">
        <f>K$32*Assumptions!K$103</f>
        <v>99.317286873101253</v>
      </c>
      <c r="L53" s="91">
        <f>L$32*Assumptions!L$103</f>
        <v>100.70237935502591</v>
      </c>
      <c r="M53" s="91">
        <f>M$32*Assumptions!M$103</f>
        <v>102.05504801517283</v>
      </c>
      <c r="N53" s="91">
        <f>N$32*Assumptions!N$103</f>
        <v>103.38428115507404</v>
      </c>
      <c r="O53" s="91">
        <f>O$32*Assumptions!O$103</f>
        <v>104.49185091899253</v>
      </c>
      <c r="P53" s="91">
        <f>P$32*Assumptions!P$103</f>
        <v>105.4120604275686</v>
      </c>
      <c r="Q53" s="91">
        <f>Q$32*Assumptions!Q$103</f>
        <v>106.303827321968</v>
      </c>
      <c r="R53" s="91">
        <f>R$32*Assumptions!R$103</f>
        <v>107.16830858272183</v>
      </c>
      <c r="S53" s="91">
        <f>S$32*Assumptions!S$103</f>
        <v>108.00462620173757</v>
      </c>
      <c r="T53" s="91">
        <f>T$32*Assumptions!T$103</f>
        <v>108.77504089945242</v>
      </c>
      <c r="U53" s="91">
        <f>U$32*Assumptions!U$103</f>
        <v>109.48502975442169</v>
      </c>
      <c r="V53" s="91">
        <f>V$32*Assumptions!V$103</f>
        <v>110.16721475468894</v>
      </c>
      <c r="W53" s="91">
        <f>W$32*Assumptions!W$103</f>
        <v>110.82117807515429</v>
      </c>
      <c r="X53" s="91">
        <f>X$32*Assumptions!X$103</f>
        <v>111.45136765734134</v>
      </c>
    </row>
    <row r="54" spans="1:24" x14ac:dyDescent="0.2">
      <c r="A54" s="57" t="s">
        <v>150</v>
      </c>
      <c r="B54" s="57"/>
      <c r="C54" s="57"/>
      <c r="D54" s="57"/>
      <c r="E54" s="91">
        <f>E$32*Assumptions!E$104</f>
        <v>50.913309234788585</v>
      </c>
      <c r="F54" s="91">
        <f>F$32*Assumptions!F$104</f>
        <v>52.380845169841479</v>
      </c>
      <c r="G54" s="91">
        <f>G$32*Assumptions!G$104</f>
        <v>53.331811975448453</v>
      </c>
      <c r="H54" s="91">
        <f>H$32*Assumptions!H$104</f>
        <v>54.553146200149868</v>
      </c>
      <c r="I54" s="91">
        <f>I$32*Assumptions!I$104</f>
        <v>58.003430220675128</v>
      </c>
      <c r="J54" s="91">
        <f>J$32*Assumptions!J$104</f>
        <v>60.769483415457429</v>
      </c>
      <c r="K54" s="91">
        <f>K$32*Assumptions!K$104</f>
        <v>61.652408712364554</v>
      </c>
      <c r="L54" s="91">
        <f>L$32*Assumptions!L$104</f>
        <v>62.51222164613057</v>
      </c>
      <c r="M54" s="91">
        <f>M$32*Assumptions!M$104</f>
        <v>63.351907099825453</v>
      </c>
      <c r="N54" s="91">
        <f>N$32*Assumptions!N$104</f>
        <v>64.177044670487419</v>
      </c>
      <c r="O54" s="91">
        <f>O$32*Assumptions!O$104</f>
        <v>64.864582015821938</v>
      </c>
      <c r="P54" s="91">
        <f>P$32*Assumptions!P$104</f>
        <v>65.435813213430322</v>
      </c>
      <c r="Q54" s="91">
        <f>Q$32*Assumptions!Q$104</f>
        <v>65.989388313804497</v>
      </c>
      <c r="R54" s="91">
        <f>R$32*Assumptions!R$104</f>
        <v>66.526025526621993</v>
      </c>
      <c r="S54" s="91">
        <f>S$32*Assumptions!S$104</f>
        <v>67.045179817725298</v>
      </c>
      <c r="T54" s="91">
        <f>T$32*Assumptions!T$104</f>
        <v>67.523424072244836</v>
      </c>
      <c r="U54" s="91">
        <f>U$32*Assumptions!U$104</f>
        <v>67.964158253029666</v>
      </c>
      <c r="V54" s="91">
        <f>V$32*Assumptions!V$104</f>
        <v>68.387632854260559</v>
      </c>
      <c r="W54" s="91">
        <f>W$32*Assumptions!W$104</f>
        <v>68.793588505946261</v>
      </c>
      <c r="X54" s="91">
        <f>X$32*Assumptions!X$104</f>
        <v>69.184786321658976</v>
      </c>
    </row>
    <row r="55" spans="1:24" x14ac:dyDescent="0.2">
      <c r="A55" s="94"/>
      <c r="B55" s="94"/>
      <c r="C55" s="94"/>
      <c r="D55" s="94"/>
      <c r="E55" s="95"/>
      <c r="F55" s="95"/>
      <c r="G55" s="95"/>
      <c r="H55" s="95"/>
      <c r="I55" s="95"/>
      <c r="J55" s="95"/>
      <c r="K55" s="95"/>
      <c r="L55" s="95"/>
      <c r="M55" s="95"/>
      <c r="N55" s="95"/>
      <c r="O55" s="95"/>
      <c r="P55" s="95"/>
      <c r="Q55" s="95"/>
      <c r="R55" s="95"/>
      <c r="S55" s="95"/>
      <c r="T55" s="95"/>
      <c r="U55" s="95"/>
      <c r="V55" s="95"/>
      <c r="W55" s="95"/>
      <c r="X55" s="95"/>
    </row>
    <row r="56" spans="1:24" s="52" customFormat="1" x14ac:dyDescent="0.2">
      <c r="A56" s="96" t="s">
        <v>58</v>
      </c>
      <c r="B56" s="97"/>
      <c r="C56" s="97"/>
      <c r="D56" s="97"/>
      <c r="E56" s="98">
        <f>E9</f>
        <v>2020</v>
      </c>
      <c r="F56" s="98">
        <f t="shared" ref="F56" si="113">E56+1</f>
        <v>2021</v>
      </c>
      <c r="G56" s="98">
        <f t="shared" ref="G56" si="114">F56+1</f>
        <v>2022</v>
      </c>
      <c r="H56" s="98">
        <f t="shared" ref="H56" si="115">G56+1</f>
        <v>2023</v>
      </c>
      <c r="I56" s="98">
        <f t="shared" ref="I56" si="116">H56+1</f>
        <v>2024</v>
      </c>
      <c r="J56" s="98">
        <f t="shared" ref="J56" si="117">I56+1</f>
        <v>2025</v>
      </c>
      <c r="K56" s="98">
        <f t="shared" ref="K56" si="118">J56+1</f>
        <v>2026</v>
      </c>
      <c r="L56" s="98">
        <f t="shared" ref="L56" si="119">K56+1</f>
        <v>2027</v>
      </c>
      <c r="M56" s="98">
        <f t="shared" ref="M56" si="120">L56+1</f>
        <v>2028</v>
      </c>
      <c r="N56" s="98">
        <f t="shared" ref="N56" si="121">M56+1</f>
        <v>2029</v>
      </c>
      <c r="O56" s="98">
        <f t="shared" ref="O56" si="122">N56+1</f>
        <v>2030</v>
      </c>
      <c r="P56" s="98">
        <f t="shared" ref="P56" si="123">O56+1</f>
        <v>2031</v>
      </c>
      <c r="Q56" s="98">
        <f t="shared" ref="Q56" si="124">P56+1</f>
        <v>2032</v>
      </c>
      <c r="R56" s="98">
        <f t="shared" ref="R56" si="125">Q56+1</f>
        <v>2033</v>
      </c>
      <c r="S56" s="98">
        <f t="shared" ref="S56" si="126">R56+1</f>
        <v>2034</v>
      </c>
      <c r="T56" s="98">
        <f t="shared" ref="T56" si="127">S56+1</f>
        <v>2035</v>
      </c>
      <c r="U56" s="98">
        <f t="shared" ref="U56" si="128">T56+1</f>
        <v>2036</v>
      </c>
      <c r="V56" s="98">
        <f t="shared" ref="V56" si="129">U56+1</f>
        <v>2037</v>
      </c>
      <c r="W56" s="98">
        <f t="shared" ref="W56" si="130">V56+1</f>
        <v>2038</v>
      </c>
      <c r="X56" s="98">
        <f t="shared" ref="X56" si="131">W56+1</f>
        <v>2039</v>
      </c>
    </row>
    <row r="57" spans="1:24" x14ac:dyDescent="0.2">
      <c r="A57" s="72" t="s">
        <v>160</v>
      </c>
      <c r="B57" s="72"/>
      <c r="C57" s="72"/>
      <c r="D57" s="72"/>
      <c r="E57" s="101">
        <f t="shared" ref="E57:V57" si="132">E33</f>
        <v>252.05772853836672</v>
      </c>
      <c r="F57" s="101">
        <f t="shared" si="132"/>
        <v>300.46294173384535</v>
      </c>
      <c r="G57" s="101">
        <f t="shared" si="132"/>
        <v>311.40120864754971</v>
      </c>
      <c r="H57" s="101">
        <f t="shared" si="132"/>
        <v>341.11933788260455</v>
      </c>
      <c r="I57" s="101">
        <f t="shared" si="132"/>
        <v>360.53222560636755</v>
      </c>
      <c r="J57" s="101">
        <f t="shared" si="132"/>
        <v>369.68021382689113</v>
      </c>
      <c r="K57" s="101">
        <f t="shared" si="132"/>
        <v>397.57331751796721</v>
      </c>
      <c r="L57" s="101">
        <f t="shared" si="132"/>
        <v>421.708684864882</v>
      </c>
      <c r="M57" s="101">
        <f t="shared" si="132"/>
        <v>436.34659281423689</v>
      </c>
      <c r="N57" s="101">
        <f t="shared" si="132"/>
        <v>455.10822880683014</v>
      </c>
      <c r="O57" s="101">
        <f t="shared" si="132"/>
        <v>471.96974490982501</v>
      </c>
      <c r="P57" s="101">
        <f t="shared" si="132"/>
        <v>501.87188535408148</v>
      </c>
      <c r="Q57" s="101">
        <f t="shared" si="132"/>
        <v>521.6266638106564</v>
      </c>
      <c r="R57" s="101">
        <f t="shared" si="132"/>
        <v>541.58091261425614</v>
      </c>
      <c r="S57" s="101">
        <f t="shared" si="132"/>
        <v>562.6988315859553</v>
      </c>
      <c r="T57" s="101">
        <f t="shared" si="132"/>
        <v>580.25083459561392</v>
      </c>
      <c r="U57" s="101">
        <f t="shared" si="132"/>
        <v>600.05865990950019</v>
      </c>
      <c r="V57" s="101">
        <f t="shared" si="132"/>
        <v>616.40790322616613</v>
      </c>
      <c r="W57" s="101">
        <f t="shared" ref="W57:X57" si="133">W33</f>
        <v>636.74172478404193</v>
      </c>
      <c r="X57" s="101">
        <f t="shared" si="133"/>
        <v>655.44893908536505</v>
      </c>
    </row>
    <row r="58" spans="1:24" x14ac:dyDescent="0.2">
      <c r="A58" s="93"/>
      <c r="B58" s="93"/>
      <c r="C58" s="93"/>
      <c r="D58" s="93"/>
      <c r="E58" s="95"/>
      <c r="F58" s="95"/>
      <c r="G58" s="95"/>
      <c r="H58" s="95"/>
      <c r="I58" s="95"/>
      <c r="J58" s="95"/>
      <c r="K58" s="95"/>
      <c r="L58" s="95"/>
      <c r="M58" s="95"/>
      <c r="N58" s="95"/>
      <c r="O58" s="95"/>
      <c r="P58" s="95"/>
      <c r="Q58" s="95"/>
      <c r="R58" s="95"/>
      <c r="S58" s="95"/>
      <c r="T58" s="95"/>
      <c r="U58" s="95"/>
      <c r="V58" s="95"/>
      <c r="W58" s="95"/>
      <c r="X58" s="95"/>
    </row>
    <row r="59" spans="1:24" s="52" customFormat="1" x14ac:dyDescent="0.2">
      <c r="A59" s="96" t="s">
        <v>188</v>
      </c>
      <c r="B59" s="97"/>
      <c r="C59" s="97"/>
      <c r="D59" s="97"/>
      <c r="E59" s="98">
        <f>E9</f>
        <v>2020</v>
      </c>
      <c r="F59" s="98">
        <f t="shared" ref="F59" si="134">E59+1</f>
        <v>2021</v>
      </c>
      <c r="G59" s="98">
        <f t="shared" ref="G59" si="135">F59+1</f>
        <v>2022</v>
      </c>
      <c r="H59" s="98">
        <f t="shared" ref="H59" si="136">G59+1</f>
        <v>2023</v>
      </c>
      <c r="I59" s="98">
        <f t="shared" ref="I59" si="137">H59+1</f>
        <v>2024</v>
      </c>
      <c r="J59" s="98">
        <f t="shared" ref="J59" si="138">I59+1</f>
        <v>2025</v>
      </c>
      <c r="K59" s="98">
        <f t="shared" ref="K59" si="139">J59+1</f>
        <v>2026</v>
      </c>
      <c r="L59" s="98">
        <f t="shared" ref="L59" si="140">K59+1</f>
        <v>2027</v>
      </c>
      <c r="M59" s="98">
        <f t="shared" ref="M59" si="141">L59+1</f>
        <v>2028</v>
      </c>
      <c r="N59" s="98">
        <f t="shared" ref="N59" si="142">M59+1</f>
        <v>2029</v>
      </c>
      <c r="O59" s="98">
        <f t="shared" ref="O59" si="143">N59+1</f>
        <v>2030</v>
      </c>
      <c r="P59" s="98">
        <f t="shared" ref="P59" si="144">O59+1</f>
        <v>2031</v>
      </c>
      <c r="Q59" s="98">
        <f t="shared" ref="Q59" si="145">P59+1</f>
        <v>2032</v>
      </c>
      <c r="R59" s="98">
        <f t="shared" ref="R59" si="146">Q59+1</f>
        <v>2033</v>
      </c>
      <c r="S59" s="98">
        <f t="shared" ref="S59" si="147">R59+1</f>
        <v>2034</v>
      </c>
      <c r="T59" s="98">
        <f t="shared" ref="T59" si="148">S59+1</f>
        <v>2035</v>
      </c>
      <c r="U59" s="98">
        <f t="shared" ref="U59" si="149">T59+1</f>
        <v>2036</v>
      </c>
      <c r="V59" s="98">
        <f t="shared" ref="V59" si="150">U59+1</f>
        <v>2037</v>
      </c>
      <c r="W59" s="98">
        <f t="shared" ref="W59" si="151">V59+1</f>
        <v>2038</v>
      </c>
      <c r="X59" s="98">
        <f t="shared" ref="X59" si="152">W59+1</f>
        <v>2039</v>
      </c>
    </row>
    <row r="60" spans="1:24" x14ac:dyDescent="0.2">
      <c r="A60" s="55" t="s">
        <v>56</v>
      </c>
      <c r="B60" s="55"/>
      <c r="C60" s="55"/>
      <c r="D60" s="55"/>
      <c r="E60" s="91">
        <f t="shared" ref="E60:V60" si="153">E34</f>
        <v>0.1</v>
      </c>
      <c r="F60" s="91">
        <f t="shared" si="153"/>
        <v>0.10232993295512705</v>
      </c>
      <c r="G60" s="91">
        <f t="shared" si="153"/>
        <v>0.10475967636156028</v>
      </c>
      <c r="H60" s="91">
        <f t="shared" si="153"/>
        <v>0.10729888649399674</v>
      </c>
      <c r="I60" s="91">
        <f t="shared" si="153"/>
        <v>0.11004207065709137</v>
      </c>
      <c r="J60" s="91">
        <f t="shared" si="153"/>
        <v>0.11278670221194154</v>
      </c>
      <c r="K60" s="91">
        <f t="shared" si="153"/>
        <v>0.1154241672506325</v>
      </c>
      <c r="L60" s="91">
        <f t="shared" si="153"/>
        <v>0.11808292834329252</v>
      </c>
      <c r="M60" s="91">
        <f t="shared" si="153"/>
        <v>0.12078444810079304</v>
      </c>
      <c r="N60" s="91">
        <f t="shared" si="153"/>
        <v>0.1235664132418524</v>
      </c>
      <c r="O60" s="91">
        <f t="shared" si="153"/>
        <v>0.12644594449508634</v>
      </c>
      <c r="P60" s="91">
        <f t="shared" si="153"/>
        <v>0.12942513093222033</v>
      </c>
      <c r="Q60" s="91">
        <f t="shared" si="153"/>
        <v>0.13246894504385345</v>
      </c>
      <c r="R60" s="91">
        <f t="shared" si="153"/>
        <v>0.13558224233976673</v>
      </c>
      <c r="S60" s="91">
        <f t="shared" si="153"/>
        <v>0.13876146015107171</v>
      </c>
      <c r="T60" s="91">
        <f t="shared" si="153"/>
        <v>0.14201679688763522</v>
      </c>
      <c r="U60" s="91">
        <f t="shared" si="153"/>
        <v>0.14534334567864024</v>
      </c>
      <c r="V60" s="91">
        <f t="shared" si="153"/>
        <v>0.14873872901831209</v>
      </c>
      <c r="W60" s="91">
        <f t="shared" ref="W60:X60" si="154">W34</f>
        <v>0.15220134402455207</v>
      </c>
      <c r="X60" s="91">
        <f t="shared" si="154"/>
        <v>0.15574967439131626</v>
      </c>
    </row>
    <row r="61" spans="1:24" x14ac:dyDescent="0.2">
      <c r="A61" s="93"/>
      <c r="B61" s="93"/>
      <c r="C61" s="93"/>
      <c r="D61" s="93"/>
      <c r="E61" s="95"/>
      <c r="F61" s="95"/>
      <c r="G61" s="95"/>
      <c r="H61" s="95"/>
      <c r="I61" s="95"/>
      <c r="J61" s="95"/>
      <c r="K61" s="95"/>
      <c r="L61" s="95"/>
      <c r="M61" s="95"/>
      <c r="N61" s="95"/>
      <c r="O61" s="95"/>
      <c r="P61" s="95"/>
      <c r="Q61" s="95"/>
      <c r="R61" s="95"/>
      <c r="S61" s="95"/>
      <c r="T61" s="95"/>
      <c r="U61" s="95"/>
      <c r="V61" s="95"/>
      <c r="W61" s="95"/>
      <c r="X61" s="95"/>
    </row>
    <row r="62" spans="1:24" s="52" customFormat="1" x14ac:dyDescent="0.2">
      <c r="A62" s="96" t="s">
        <v>59</v>
      </c>
      <c r="B62" s="97"/>
      <c r="C62" s="97"/>
      <c r="D62" s="97"/>
      <c r="E62" s="98">
        <f>E9</f>
        <v>2020</v>
      </c>
      <c r="F62" s="98">
        <f t="shared" ref="F62" si="155">E62+1</f>
        <v>2021</v>
      </c>
      <c r="G62" s="98">
        <f t="shared" ref="G62" si="156">F62+1</f>
        <v>2022</v>
      </c>
      <c r="H62" s="98">
        <f t="shared" ref="H62" si="157">G62+1</f>
        <v>2023</v>
      </c>
      <c r="I62" s="98">
        <f t="shared" ref="I62" si="158">H62+1</f>
        <v>2024</v>
      </c>
      <c r="J62" s="98">
        <f t="shared" ref="J62" si="159">I62+1</f>
        <v>2025</v>
      </c>
      <c r="K62" s="98">
        <f t="shared" ref="K62" si="160">J62+1</f>
        <v>2026</v>
      </c>
      <c r="L62" s="98">
        <f t="shared" ref="L62" si="161">K62+1</f>
        <v>2027</v>
      </c>
      <c r="M62" s="98">
        <f t="shared" ref="M62" si="162">L62+1</f>
        <v>2028</v>
      </c>
      <c r="N62" s="98">
        <f t="shared" ref="N62" si="163">M62+1</f>
        <v>2029</v>
      </c>
      <c r="O62" s="98">
        <f t="shared" ref="O62" si="164">N62+1</f>
        <v>2030</v>
      </c>
      <c r="P62" s="98">
        <f t="shared" ref="P62" si="165">O62+1</f>
        <v>2031</v>
      </c>
      <c r="Q62" s="98">
        <f t="shared" ref="Q62" si="166">P62+1</f>
        <v>2032</v>
      </c>
      <c r="R62" s="98">
        <f t="shared" ref="R62" si="167">Q62+1</f>
        <v>2033</v>
      </c>
      <c r="S62" s="98">
        <f t="shared" ref="S62" si="168">R62+1</f>
        <v>2034</v>
      </c>
      <c r="T62" s="98">
        <f t="shared" ref="T62" si="169">S62+1</f>
        <v>2035</v>
      </c>
      <c r="U62" s="98">
        <f t="shared" ref="U62" si="170">T62+1</f>
        <v>2036</v>
      </c>
      <c r="V62" s="98">
        <f t="shared" ref="V62" si="171">U62+1</f>
        <v>2037</v>
      </c>
      <c r="W62" s="98">
        <f t="shared" ref="W62" si="172">V62+1</f>
        <v>2038</v>
      </c>
      <c r="X62" s="98">
        <f t="shared" ref="X62" si="173">W62+1</f>
        <v>2039</v>
      </c>
    </row>
    <row r="63" spans="1:24" x14ac:dyDescent="0.2">
      <c r="A63" s="55" t="s">
        <v>56</v>
      </c>
      <c r="B63" s="55"/>
      <c r="C63" s="55"/>
      <c r="D63" s="55"/>
      <c r="E63" s="91">
        <f t="shared" ref="E63:V63" si="174">E35</f>
        <v>2.83</v>
      </c>
      <c r="F63" s="91">
        <f t="shared" si="174"/>
        <v>2.8959371026300955</v>
      </c>
      <c r="G63" s="91">
        <f t="shared" si="174"/>
        <v>2.9646988410321558</v>
      </c>
      <c r="H63" s="91">
        <f t="shared" si="174"/>
        <v>3.0365584877801077</v>
      </c>
      <c r="I63" s="91">
        <f t="shared" si="174"/>
        <v>3.1141905995956858</v>
      </c>
      <c r="J63" s="91">
        <f t="shared" si="174"/>
        <v>3.1918636725979455</v>
      </c>
      <c r="K63" s="91">
        <f t="shared" si="174"/>
        <v>3.2665039331928996</v>
      </c>
      <c r="L63" s="91">
        <f t="shared" si="174"/>
        <v>3.3417468721151784</v>
      </c>
      <c r="M63" s="91">
        <f t="shared" si="174"/>
        <v>3.418199881252443</v>
      </c>
      <c r="N63" s="91">
        <f t="shared" si="174"/>
        <v>3.4969294947444229</v>
      </c>
      <c r="O63" s="91">
        <f t="shared" si="174"/>
        <v>3.578420229210943</v>
      </c>
      <c r="P63" s="91">
        <f t="shared" si="174"/>
        <v>3.6627312053818355</v>
      </c>
      <c r="Q63" s="91">
        <f t="shared" si="174"/>
        <v>3.7488711447410532</v>
      </c>
      <c r="R63" s="91">
        <f t="shared" si="174"/>
        <v>3.8369774582153995</v>
      </c>
      <c r="S63" s="91">
        <f t="shared" si="174"/>
        <v>3.9269493222753309</v>
      </c>
      <c r="T63" s="91">
        <f t="shared" si="174"/>
        <v>4.0190753519200779</v>
      </c>
      <c r="U63" s="91">
        <f t="shared" si="174"/>
        <v>4.1132166827055201</v>
      </c>
      <c r="V63" s="91">
        <f t="shared" si="174"/>
        <v>4.209306031218234</v>
      </c>
      <c r="W63" s="91">
        <f t="shared" ref="W63:X63" si="175">W35</f>
        <v>4.3072980358948261</v>
      </c>
      <c r="X63" s="91">
        <f t="shared" si="175"/>
        <v>4.4077157852742532</v>
      </c>
    </row>
    <row r="64" spans="1:24" x14ac:dyDescent="0.2">
      <c r="A64" s="93"/>
      <c r="B64" s="93"/>
      <c r="C64" s="93"/>
      <c r="D64" s="93"/>
      <c r="E64" s="95"/>
      <c r="F64" s="95"/>
      <c r="G64" s="95"/>
      <c r="H64" s="95"/>
      <c r="I64" s="95"/>
      <c r="J64" s="95"/>
      <c r="K64" s="95"/>
      <c r="L64" s="95"/>
      <c r="M64" s="95"/>
      <c r="N64" s="95"/>
      <c r="O64" s="95"/>
      <c r="P64" s="95"/>
      <c r="Q64" s="95"/>
      <c r="R64" s="95"/>
      <c r="S64" s="95"/>
      <c r="T64" s="95"/>
      <c r="U64" s="95"/>
      <c r="V64" s="95"/>
      <c r="W64" s="95"/>
      <c r="X64" s="95"/>
    </row>
    <row r="65" spans="1:24" s="52" customFormat="1" x14ac:dyDescent="0.2">
      <c r="A65" s="96" t="s">
        <v>60</v>
      </c>
      <c r="B65" s="97"/>
      <c r="C65" s="97"/>
      <c r="D65" s="97"/>
      <c r="E65" s="98">
        <f>E9</f>
        <v>2020</v>
      </c>
      <c r="F65" s="98">
        <f t="shared" ref="F65" si="176">E65+1</f>
        <v>2021</v>
      </c>
      <c r="G65" s="98">
        <f t="shared" ref="G65" si="177">F65+1</f>
        <v>2022</v>
      </c>
      <c r="H65" s="98">
        <f t="shared" ref="H65" si="178">G65+1</f>
        <v>2023</v>
      </c>
      <c r="I65" s="98">
        <f t="shared" ref="I65" si="179">H65+1</f>
        <v>2024</v>
      </c>
      <c r="J65" s="98">
        <f t="shared" ref="J65" si="180">I65+1</f>
        <v>2025</v>
      </c>
      <c r="K65" s="98">
        <f t="shared" ref="K65" si="181">J65+1</f>
        <v>2026</v>
      </c>
      <c r="L65" s="98">
        <f t="shared" ref="L65" si="182">K65+1</f>
        <v>2027</v>
      </c>
      <c r="M65" s="98">
        <f t="shared" ref="M65" si="183">L65+1</f>
        <v>2028</v>
      </c>
      <c r="N65" s="98">
        <f t="shared" ref="N65" si="184">M65+1</f>
        <v>2029</v>
      </c>
      <c r="O65" s="98">
        <f t="shared" ref="O65" si="185">N65+1</f>
        <v>2030</v>
      </c>
      <c r="P65" s="98">
        <f t="shared" ref="P65" si="186">O65+1</f>
        <v>2031</v>
      </c>
      <c r="Q65" s="98">
        <f t="shared" ref="Q65" si="187">P65+1</f>
        <v>2032</v>
      </c>
      <c r="R65" s="98">
        <f t="shared" ref="R65" si="188">Q65+1</f>
        <v>2033</v>
      </c>
      <c r="S65" s="98">
        <f t="shared" ref="S65" si="189">R65+1</f>
        <v>2034</v>
      </c>
      <c r="T65" s="98">
        <f t="shared" ref="T65" si="190">S65+1</f>
        <v>2035</v>
      </c>
      <c r="U65" s="98">
        <f t="shared" ref="U65" si="191">T65+1</f>
        <v>2036</v>
      </c>
      <c r="V65" s="98">
        <f t="shared" ref="V65" si="192">U65+1</f>
        <v>2037</v>
      </c>
      <c r="W65" s="98">
        <f t="shared" ref="W65" si="193">V65+1</f>
        <v>2038</v>
      </c>
      <c r="X65" s="98">
        <f t="shared" ref="X65" si="194">W65+1</f>
        <v>2039</v>
      </c>
    </row>
    <row r="66" spans="1:24" x14ac:dyDescent="0.2">
      <c r="A66" s="55" t="s">
        <v>61</v>
      </c>
      <c r="B66" s="55"/>
      <c r="C66" s="55"/>
      <c r="D66" s="55"/>
      <c r="E66" s="91">
        <f t="shared" ref="E66:V66" si="195">E36</f>
        <v>2.8571428800000001</v>
      </c>
      <c r="F66" s="91">
        <f t="shared" si="195"/>
        <v>2.9237123935361859</v>
      </c>
      <c r="G66" s="91">
        <f t="shared" si="195"/>
        <v>2.9931336342753623</v>
      </c>
      <c r="H66" s="91">
        <f t="shared" si="195"/>
        <v>3.0656824957825091</v>
      </c>
      <c r="I66" s="91">
        <f t="shared" si="195"/>
        <v>3.1440591867836547</v>
      </c>
      <c r="J66" s="91">
        <f t="shared" si="195"/>
        <v>3.2224772318352892</v>
      </c>
      <c r="K66" s="91">
        <f t="shared" si="195"/>
        <v>3.297833376400737</v>
      </c>
      <c r="L66" s="91">
        <f t="shared" si="195"/>
        <v>3.3737979796558832</v>
      </c>
      <c r="M66" s="91">
        <f t="shared" si="195"/>
        <v>3.4509842590591022</v>
      </c>
      <c r="N66" s="91">
        <f t="shared" si="195"/>
        <v>3.5304689780109615</v>
      </c>
      <c r="O66" s="91">
        <f t="shared" si="195"/>
        <v>3.6127413001901094</v>
      </c>
      <c r="P66" s="91">
        <f t="shared" si="195"/>
        <v>3.6978609133606093</v>
      </c>
      <c r="Q66" s="91">
        <f t="shared" si="195"/>
        <v>3.7848270315315706</v>
      </c>
      <c r="R66" s="91">
        <f t="shared" si="195"/>
        <v>3.8737783835549897</v>
      </c>
      <c r="S66" s="91">
        <f t="shared" si="195"/>
        <v>3.964613178890382</v>
      </c>
      <c r="T66" s="91">
        <f t="shared" si="195"/>
        <v>4.0576228006791304</v>
      </c>
      <c r="U66" s="91">
        <f t="shared" si="195"/>
        <v>4.152667052611057</v>
      </c>
      <c r="V66" s="91">
        <f t="shared" si="195"/>
        <v>4.2496780059491979</v>
      </c>
      <c r="W66" s="91">
        <f t="shared" ref="W66:X66" si="196">W36</f>
        <v>4.3486098640617952</v>
      </c>
      <c r="X66" s="91">
        <f t="shared" si="196"/>
        <v>4.4499907324946761</v>
      </c>
    </row>
    <row r="67" spans="1:24" x14ac:dyDescent="0.2">
      <c r="A67" s="93"/>
      <c r="B67" s="93"/>
      <c r="C67" s="93"/>
      <c r="D67" s="93"/>
      <c r="E67" s="71"/>
      <c r="F67" s="71"/>
      <c r="G67" s="71"/>
      <c r="H67" s="71"/>
      <c r="I67" s="71"/>
      <c r="J67" s="71"/>
      <c r="K67" s="71"/>
      <c r="L67" s="71"/>
      <c r="M67" s="71"/>
      <c r="N67" s="71"/>
      <c r="O67" s="71"/>
      <c r="P67" s="71"/>
      <c r="Q67" s="71"/>
      <c r="R67" s="71"/>
      <c r="S67" s="71"/>
      <c r="T67" s="71"/>
      <c r="U67" s="71"/>
      <c r="V67" s="71"/>
      <c r="W67" s="71"/>
      <c r="X67" s="71"/>
    </row>
    <row r="68" spans="1:24" x14ac:dyDescent="0.2">
      <c r="A68" s="99" t="s">
        <v>11</v>
      </c>
      <c r="B68" s="99"/>
      <c r="C68" s="99"/>
      <c r="D68" s="99"/>
      <c r="E68" s="100">
        <f t="shared" ref="E68:V68" si="197">SUM(E42:E43,E46:E47,E50:E54,E57,E60,E63,E66)</f>
        <v>2299.708534239528</v>
      </c>
      <c r="F68" s="100">
        <f t="shared" si="197"/>
        <v>2407.1036917095016</v>
      </c>
      <c r="G68" s="100">
        <f t="shared" si="197"/>
        <v>2456.3208223080628</v>
      </c>
      <c r="H68" s="100">
        <f t="shared" si="197"/>
        <v>2535.1671580140537</v>
      </c>
      <c r="I68" s="100">
        <f t="shared" si="197"/>
        <v>2693.1114486839929</v>
      </c>
      <c r="J68" s="100">
        <f t="shared" si="197"/>
        <v>2813.3500426125624</v>
      </c>
      <c r="K68" s="100">
        <f t="shared" si="197"/>
        <v>2876.805245946854</v>
      </c>
      <c r="L68" s="100">
        <f t="shared" si="197"/>
        <v>2935.5770306758618</v>
      </c>
      <c r="M68" s="100">
        <f t="shared" si="197"/>
        <v>2984.0466236974776</v>
      </c>
      <c r="N68" s="100">
        <f t="shared" si="197"/>
        <v>3036.0611615755165</v>
      </c>
      <c r="O68" s="100">
        <f t="shared" si="197"/>
        <v>3080.6628082869415</v>
      </c>
      <c r="P68" s="100">
        <f t="shared" si="197"/>
        <v>3133.6464218343594</v>
      </c>
      <c r="Q68" s="100">
        <f t="shared" si="197"/>
        <v>3175.7783207748789</v>
      </c>
      <c r="R68" s="100">
        <f t="shared" si="197"/>
        <v>3217.4344220315988</v>
      </c>
      <c r="S68" s="100">
        <f t="shared" si="197"/>
        <v>3259.5568608103099</v>
      </c>
      <c r="T68" s="100">
        <f t="shared" si="197"/>
        <v>3296.4771034554374</v>
      </c>
      <c r="U68" s="100">
        <f t="shared" si="197"/>
        <v>3334.152958800441</v>
      </c>
      <c r="V68" s="100">
        <f t="shared" si="197"/>
        <v>3367.6820252146558</v>
      </c>
      <c r="W68" s="100">
        <f t="shared" ref="W68:X68" si="198">SUM(W42:W43,W46:W47,W50:W54,W57,W60,W63,W66)</f>
        <v>3404.4969682163332</v>
      </c>
      <c r="X68" s="100">
        <f t="shared" si="198"/>
        <v>3439.0984056533016</v>
      </c>
    </row>
    <row r="69" spans="1:24" x14ac:dyDescent="0.2">
      <c r="A69" s="53"/>
      <c r="B69" s="53"/>
      <c r="C69" s="53"/>
      <c r="D69" s="242"/>
      <c r="E69" s="56"/>
      <c r="F69" s="56"/>
      <c r="G69" s="56"/>
      <c r="H69" s="56"/>
      <c r="I69" s="56"/>
      <c r="J69" s="56"/>
      <c r="K69" s="56"/>
      <c r="L69" s="56"/>
      <c r="M69" s="56"/>
      <c r="N69" s="56"/>
      <c r="O69" s="56"/>
      <c r="P69" s="56"/>
      <c r="Q69" s="56"/>
      <c r="R69" s="56"/>
      <c r="S69" s="56"/>
      <c r="T69" s="56"/>
      <c r="U69" s="56"/>
      <c r="V69" s="56"/>
      <c r="W69" s="56"/>
      <c r="X69" s="56"/>
    </row>
    <row r="70" spans="1:24" s="27" customFormat="1" x14ac:dyDescent="0.2">
      <c r="A70" s="64" t="s">
        <v>323</v>
      </c>
      <c r="B70" s="64"/>
      <c r="C70" s="64"/>
      <c r="D70" s="64"/>
      <c r="E70" s="87"/>
      <c r="F70" s="87"/>
      <c r="G70" s="87"/>
      <c r="H70" s="87"/>
      <c r="I70" s="87"/>
      <c r="J70" s="87"/>
      <c r="K70" s="87"/>
      <c r="L70" s="87"/>
      <c r="M70" s="87"/>
      <c r="N70" s="87"/>
      <c r="O70" s="87"/>
      <c r="P70" s="87"/>
      <c r="Q70" s="87"/>
      <c r="R70" s="87"/>
      <c r="S70" s="87"/>
      <c r="T70" s="87"/>
      <c r="U70" s="87"/>
      <c r="V70" s="87"/>
      <c r="W70" s="87"/>
      <c r="X70" s="87"/>
    </row>
    <row r="71" spans="1:24" s="27" customFormat="1" x14ac:dyDescent="0.2">
      <c r="A71" s="62"/>
      <c r="B71" s="62"/>
      <c r="C71" s="62"/>
      <c r="D71" s="62"/>
      <c r="E71" s="286">
        <f>E65</f>
        <v>2020</v>
      </c>
      <c r="F71" s="286">
        <f t="shared" ref="F71:X71" si="199">F65</f>
        <v>2021</v>
      </c>
      <c r="G71" s="286">
        <f t="shared" si="199"/>
        <v>2022</v>
      </c>
      <c r="H71" s="286">
        <f t="shared" si="199"/>
        <v>2023</v>
      </c>
      <c r="I71" s="286">
        <f t="shared" si="199"/>
        <v>2024</v>
      </c>
      <c r="J71" s="286">
        <f t="shared" si="199"/>
        <v>2025</v>
      </c>
      <c r="K71" s="286">
        <f t="shared" si="199"/>
        <v>2026</v>
      </c>
      <c r="L71" s="286">
        <f t="shared" si="199"/>
        <v>2027</v>
      </c>
      <c r="M71" s="286">
        <f t="shared" si="199"/>
        <v>2028</v>
      </c>
      <c r="N71" s="286">
        <f t="shared" si="199"/>
        <v>2029</v>
      </c>
      <c r="O71" s="286">
        <f t="shared" si="199"/>
        <v>2030</v>
      </c>
      <c r="P71" s="286">
        <f t="shared" si="199"/>
        <v>2031</v>
      </c>
      <c r="Q71" s="286">
        <f t="shared" si="199"/>
        <v>2032</v>
      </c>
      <c r="R71" s="286">
        <f t="shared" si="199"/>
        <v>2033</v>
      </c>
      <c r="S71" s="286">
        <f t="shared" si="199"/>
        <v>2034</v>
      </c>
      <c r="T71" s="286">
        <f t="shared" si="199"/>
        <v>2035</v>
      </c>
      <c r="U71" s="286">
        <f t="shared" si="199"/>
        <v>2036</v>
      </c>
      <c r="V71" s="286">
        <f t="shared" si="199"/>
        <v>2037</v>
      </c>
      <c r="W71" s="286">
        <f t="shared" si="199"/>
        <v>2038</v>
      </c>
      <c r="X71" s="286">
        <f t="shared" si="199"/>
        <v>2039</v>
      </c>
    </row>
    <row r="72" spans="1:24" s="27" customFormat="1" x14ac:dyDescent="0.2">
      <c r="A72" s="278" t="str">
        <f>Assumptions!A109</f>
        <v>Inter-regional %</v>
      </c>
      <c r="B72" s="279"/>
      <c r="C72" s="279"/>
      <c r="D72" s="279"/>
      <c r="E72" s="280">
        <f>Assumptions!E109*(Rates!E$30+Rates!E$31)</f>
        <v>778.73440414291986</v>
      </c>
      <c r="F72" s="280">
        <f>Assumptions!F109*(Rates!F$30+Rates!F$31)</f>
        <v>801.18080841555457</v>
      </c>
      <c r="G72" s="280">
        <f>Assumptions!G109*(Rates!G$30+Rates!G$31)</f>
        <v>815.72613221898223</v>
      </c>
      <c r="H72" s="280">
        <f>Assumptions!H109*(Rates!H$30+Rates!H$31)</f>
        <v>834.40680715500343</v>
      </c>
      <c r="I72" s="280">
        <f>Assumptions!I109*(Rates!I$30+Rates!I$31)</f>
        <v>887.17994076643413</v>
      </c>
      <c r="J72" s="280">
        <f>Assumptions!J109*(Rates!J$30+Rates!J$31)</f>
        <v>929.48755774990423</v>
      </c>
      <c r="K72" s="280">
        <f>Assumptions!K109*(Rates!K$30+Rates!K$31)</f>
        <v>942.99216617790785</v>
      </c>
      <c r="L72" s="280">
        <f>Assumptions!L109*(Rates!L$30+Rates!L$31)</f>
        <v>956.14326404826875</v>
      </c>
      <c r="M72" s="280">
        <f>Assumptions!M109*(Rates!M$30+Rates!M$31)</f>
        <v>968.98650604684167</v>
      </c>
      <c r="N72" s="280">
        <f>Assumptions!N109*(Rates!N$30+Rates!N$31)</f>
        <v>981.60723379137255</v>
      </c>
      <c r="O72" s="280">
        <f>Assumptions!O109*(Rates!O$30+Rates!O$31)</f>
        <v>992.12332463268922</v>
      </c>
      <c r="P72" s="280">
        <f>Assumptions!P109*(Rates!P$30+Rates!P$31)</f>
        <v>1000.8604779032817</v>
      </c>
      <c r="Q72" s="280">
        <f>Assumptions!Q109*(Rates!Q$30+Rates!Q$31)</f>
        <v>1009.3275758471661</v>
      </c>
      <c r="R72" s="280">
        <f>Assumptions!R109*(Rates!R$30+Rates!R$31)</f>
        <v>1017.5356036977464</v>
      </c>
      <c r="S72" s="280">
        <f>Assumptions!S109*(Rates!S$30+Rates!S$31)</f>
        <v>1025.4762249933729</v>
      </c>
      <c r="T72" s="280">
        <f>Assumptions!T109*(Rates!T$30+Rates!T$31)</f>
        <v>1032.7911149538859</v>
      </c>
      <c r="U72" s="280">
        <f>Assumptions!U109*(Rates!U$30+Rates!U$31)</f>
        <v>1039.5322770354182</v>
      </c>
      <c r="V72" s="280">
        <f>Assumptions!V109*(Rates!V$30+Rates!V$31)</f>
        <v>1046.0094486476276</v>
      </c>
      <c r="W72" s="280">
        <f>Assumptions!W109*(Rates!W$30+Rates!W$31)</f>
        <v>1052.2186626483528</v>
      </c>
      <c r="X72" s="280">
        <f>Assumptions!X109*(Rates!X$30+Rates!X$31)</f>
        <v>1058.2021511015623</v>
      </c>
    </row>
    <row r="73" spans="1:24" s="27" customFormat="1" x14ac:dyDescent="0.2">
      <c r="A73" s="278" t="str">
        <f>Assumptions!A110</f>
        <v>Intra-regional %</v>
      </c>
      <c r="B73" s="279"/>
      <c r="C73" s="279"/>
      <c r="D73" s="279"/>
      <c r="E73" s="280">
        <f>Assumptions!E110*(Rates!E$30+Rates!E$31)</f>
        <v>778.73440414291986</v>
      </c>
      <c r="F73" s="280">
        <f>Assumptions!F110*(Rates!F$30+Rates!F$31)</f>
        <v>801.18080841555457</v>
      </c>
      <c r="G73" s="280">
        <f>Assumptions!G110*(Rates!G$30+Rates!G$31)</f>
        <v>815.72613221898223</v>
      </c>
      <c r="H73" s="280">
        <f>Assumptions!H110*(Rates!H$30+Rates!H$31)</f>
        <v>834.40680715500343</v>
      </c>
      <c r="I73" s="280">
        <f>Assumptions!I110*(Rates!I$30+Rates!I$31)</f>
        <v>887.17994076643413</v>
      </c>
      <c r="J73" s="280">
        <f>Assumptions!J110*(Rates!J$30+Rates!J$31)</f>
        <v>929.48755774990423</v>
      </c>
      <c r="K73" s="280">
        <f>Assumptions!K110*(Rates!K$30+Rates!K$31)</f>
        <v>942.99216617790785</v>
      </c>
      <c r="L73" s="280">
        <f>Assumptions!L110*(Rates!L$30+Rates!L$31)</f>
        <v>956.14326404826875</v>
      </c>
      <c r="M73" s="280">
        <f>Assumptions!M110*(Rates!M$30+Rates!M$31)</f>
        <v>968.98650604684167</v>
      </c>
      <c r="N73" s="280">
        <f>Assumptions!N110*(Rates!N$30+Rates!N$31)</f>
        <v>981.60723379137255</v>
      </c>
      <c r="O73" s="280">
        <f>Assumptions!O110*(Rates!O$30+Rates!O$31)</f>
        <v>992.12332463268922</v>
      </c>
      <c r="P73" s="280">
        <f>Assumptions!P110*(Rates!P$30+Rates!P$31)</f>
        <v>1000.8604779032817</v>
      </c>
      <c r="Q73" s="280">
        <f>Assumptions!Q110*(Rates!Q$30+Rates!Q$31)</f>
        <v>1009.3275758471661</v>
      </c>
      <c r="R73" s="280">
        <f>Assumptions!R110*(Rates!R$30+Rates!R$31)</f>
        <v>1017.5356036977464</v>
      </c>
      <c r="S73" s="280">
        <f>Assumptions!S110*(Rates!S$30+Rates!S$31)</f>
        <v>1025.4762249933729</v>
      </c>
      <c r="T73" s="280">
        <f>Assumptions!T110*(Rates!T$30+Rates!T$31)</f>
        <v>1032.7911149538859</v>
      </c>
      <c r="U73" s="280">
        <f>Assumptions!U110*(Rates!U$30+Rates!U$31)</f>
        <v>1039.5322770354182</v>
      </c>
      <c r="V73" s="280">
        <f>Assumptions!V110*(Rates!V$30+Rates!V$31)</f>
        <v>1046.0094486476276</v>
      </c>
      <c r="W73" s="280">
        <f>Assumptions!W110*(Rates!W$30+Rates!W$31)</f>
        <v>1052.2186626483528</v>
      </c>
      <c r="X73" s="280">
        <f>Assumptions!X110*(Rates!X$30+Rates!X$31)</f>
        <v>1058.2021511015623</v>
      </c>
    </row>
    <row r="74" spans="1:24" s="27" customFormat="1" x14ac:dyDescent="0.2">
      <c r="A74" s="62"/>
      <c r="B74" s="62"/>
      <c r="C74" s="62"/>
      <c r="D74" s="62"/>
      <c r="E74" s="244"/>
      <c r="F74" s="244"/>
      <c r="G74" s="244"/>
      <c r="H74" s="244"/>
      <c r="I74" s="244"/>
      <c r="J74" s="244"/>
      <c r="K74" s="244"/>
      <c r="L74" s="244"/>
      <c r="M74" s="244"/>
      <c r="N74" s="244"/>
      <c r="O74" s="244"/>
      <c r="P74" s="244"/>
      <c r="Q74" s="244"/>
      <c r="R74" s="244"/>
      <c r="S74" s="244"/>
      <c r="T74" s="244"/>
      <c r="U74" s="244"/>
      <c r="V74" s="244"/>
      <c r="W74" s="244"/>
      <c r="X74" s="244"/>
    </row>
    <row r="75" spans="1:24" s="27" customFormat="1" x14ac:dyDescent="0.2">
      <c r="A75" s="64" t="s">
        <v>324</v>
      </c>
      <c r="B75" s="64"/>
      <c r="C75" s="64"/>
      <c r="D75" s="64"/>
      <c r="E75" s="87"/>
      <c r="F75" s="87"/>
      <c r="G75" s="87"/>
      <c r="H75" s="87"/>
      <c r="I75" s="87"/>
      <c r="J75" s="87"/>
      <c r="K75" s="87"/>
      <c r="L75" s="87"/>
      <c r="M75" s="87"/>
      <c r="N75" s="87"/>
      <c r="O75" s="87"/>
      <c r="P75" s="87"/>
      <c r="Q75" s="87"/>
      <c r="R75" s="87"/>
      <c r="S75" s="87"/>
      <c r="T75" s="87"/>
      <c r="U75" s="87"/>
      <c r="V75" s="87"/>
      <c r="W75" s="87"/>
      <c r="X75" s="87"/>
    </row>
    <row r="76" spans="1:24" s="27" customFormat="1" x14ac:dyDescent="0.2">
      <c r="A76" s="62"/>
      <c r="B76" s="62"/>
      <c r="C76" s="62"/>
      <c r="D76" s="62"/>
      <c r="E76" s="286">
        <f>E71</f>
        <v>2020</v>
      </c>
      <c r="F76" s="286">
        <f t="shared" ref="F76:X76" si="200">F71</f>
        <v>2021</v>
      </c>
      <c r="G76" s="286">
        <f t="shared" si="200"/>
        <v>2022</v>
      </c>
      <c r="H76" s="286">
        <f t="shared" si="200"/>
        <v>2023</v>
      </c>
      <c r="I76" s="286">
        <f t="shared" si="200"/>
        <v>2024</v>
      </c>
      <c r="J76" s="286">
        <f t="shared" si="200"/>
        <v>2025</v>
      </c>
      <c r="K76" s="286">
        <f t="shared" si="200"/>
        <v>2026</v>
      </c>
      <c r="L76" s="286">
        <f t="shared" si="200"/>
        <v>2027</v>
      </c>
      <c r="M76" s="286">
        <f t="shared" si="200"/>
        <v>2028</v>
      </c>
      <c r="N76" s="286">
        <f t="shared" si="200"/>
        <v>2029</v>
      </c>
      <c r="O76" s="286">
        <f t="shared" si="200"/>
        <v>2030</v>
      </c>
      <c r="P76" s="286">
        <f t="shared" si="200"/>
        <v>2031</v>
      </c>
      <c r="Q76" s="286">
        <f t="shared" si="200"/>
        <v>2032</v>
      </c>
      <c r="R76" s="286">
        <f t="shared" si="200"/>
        <v>2033</v>
      </c>
      <c r="S76" s="286">
        <f t="shared" si="200"/>
        <v>2034</v>
      </c>
      <c r="T76" s="286">
        <f t="shared" si="200"/>
        <v>2035</v>
      </c>
      <c r="U76" s="286">
        <f t="shared" si="200"/>
        <v>2036</v>
      </c>
      <c r="V76" s="286">
        <f t="shared" si="200"/>
        <v>2037</v>
      </c>
      <c r="W76" s="286">
        <f t="shared" si="200"/>
        <v>2038</v>
      </c>
      <c r="X76" s="286">
        <f t="shared" si="200"/>
        <v>2039</v>
      </c>
    </row>
    <row r="77" spans="1:24" s="27" customFormat="1" x14ac:dyDescent="0.2">
      <c r="A77" s="281" t="str">
        <f>Assumptions!A115</f>
        <v>Energy and Ancillary Services Markets Benefits %</v>
      </c>
      <c r="B77" s="279"/>
      <c r="C77" s="279"/>
      <c r="D77" s="279"/>
      <c r="E77" s="282">
        <f>Assumptions!E115*(Rates!E$30+Rates!E$31)</f>
        <v>778.73440414291986</v>
      </c>
      <c r="F77" s="282">
        <f>Assumptions!F115*(Rates!F$30+Rates!F$31)</f>
        <v>801.18080841555457</v>
      </c>
      <c r="G77" s="282">
        <f>Assumptions!G115*(Rates!G$30+Rates!G$31)</f>
        <v>815.72613221898223</v>
      </c>
      <c r="H77" s="282">
        <f>Assumptions!H115*(Rates!H$30+Rates!H$31)</f>
        <v>834.40680715500343</v>
      </c>
      <c r="I77" s="282">
        <f>Assumptions!I115*(Rates!I$30+Rates!I$31)</f>
        <v>887.17994076643413</v>
      </c>
      <c r="J77" s="282">
        <f>Assumptions!J115*(Rates!J$30+Rates!J$31)</f>
        <v>929.48755774990423</v>
      </c>
      <c r="K77" s="282">
        <f>Assumptions!K115*(Rates!K$30+Rates!K$31)</f>
        <v>942.99216617790785</v>
      </c>
      <c r="L77" s="282">
        <f>Assumptions!L115*(Rates!L$30+Rates!L$31)</f>
        <v>956.14326404826875</v>
      </c>
      <c r="M77" s="282">
        <f>Assumptions!M115*(Rates!M$30+Rates!M$31)</f>
        <v>968.98650604684167</v>
      </c>
      <c r="N77" s="282">
        <f>Assumptions!N115*(Rates!N$30+Rates!N$31)</f>
        <v>981.60723379137255</v>
      </c>
      <c r="O77" s="282">
        <f>Assumptions!O115*(Rates!O$30+Rates!O$31)</f>
        <v>992.12332463268922</v>
      </c>
      <c r="P77" s="282">
        <f>Assumptions!P115*(Rates!P$30+Rates!P$31)</f>
        <v>1000.8604779032817</v>
      </c>
      <c r="Q77" s="282">
        <f>Assumptions!Q115*(Rates!Q$30+Rates!Q$31)</f>
        <v>1009.3275758471661</v>
      </c>
      <c r="R77" s="282">
        <f>Assumptions!R115*(Rates!R$30+Rates!R$31)</f>
        <v>1017.5356036977464</v>
      </c>
      <c r="S77" s="282">
        <f>Assumptions!S115*(Rates!S$30+Rates!S$31)</f>
        <v>1025.4762249933729</v>
      </c>
      <c r="T77" s="282">
        <f>Assumptions!T115*(Rates!T$30+Rates!T$31)</f>
        <v>1032.7911149538859</v>
      </c>
      <c r="U77" s="282">
        <f>Assumptions!U115*(Rates!U$30+Rates!U$31)</f>
        <v>1039.5322770354182</v>
      </c>
      <c r="V77" s="282">
        <f>Assumptions!V115*(Rates!V$30+Rates!V$31)</f>
        <v>1046.0094486476276</v>
      </c>
      <c r="W77" s="282">
        <f>Assumptions!W115*(Rates!W$30+Rates!W$31)</f>
        <v>1052.2186626483528</v>
      </c>
      <c r="X77" s="282">
        <f>Assumptions!X115*(Rates!X$30+Rates!X$31)</f>
        <v>1058.2021511015623</v>
      </c>
    </row>
    <row r="78" spans="1:24" s="27" customFormat="1" x14ac:dyDescent="0.2">
      <c r="A78" s="278" t="str">
        <f>Assumptions!A116</f>
        <v>Transmission Service Benefits %</v>
      </c>
      <c r="B78" s="279"/>
      <c r="C78" s="279"/>
      <c r="D78" s="279"/>
      <c r="E78" s="282">
        <f>Assumptions!E116*(Rates!E$30+Rates!E$31)</f>
        <v>778.73440414291986</v>
      </c>
      <c r="F78" s="282">
        <f>Assumptions!F116*(Rates!F$30+Rates!F$31)</f>
        <v>801.18080841555457</v>
      </c>
      <c r="G78" s="282">
        <f>Assumptions!G116*(Rates!G$30+Rates!G$31)</f>
        <v>815.72613221898223</v>
      </c>
      <c r="H78" s="282">
        <f>Assumptions!H116*(Rates!H$30+Rates!H$31)</f>
        <v>834.40680715500343</v>
      </c>
      <c r="I78" s="282">
        <f>Assumptions!I116*(Rates!I$30+Rates!I$31)</f>
        <v>887.17994076643413</v>
      </c>
      <c r="J78" s="282">
        <f>Assumptions!J116*(Rates!J$30+Rates!J$31)</f>
        <v>929.48755774990423</v>
      </c>
      <c r="K78" s="282">
        <f>Assumptions!K116*(Rates!K$30+Rates!K$31)</f>
        <v>942.99216617790785</v>
      </c>
      <c r="L78" s="282">
        <f>Assumptions!L116*(Rates!L$30+Rates!L$31)</f>
        <v>956.14326404826875</v>
      </c>
      <c r="M78" s="282">
        <f>Assumptions!M116*(Rates!M$30+Rates!M$31)</f>
        <v>968.98650604684167</v>
      </c>
      <c r="N78" s="282">
        <f>Assumptions!N116*(Rates!N$30+Rates!N$31)</f>
        <v>981.60723379137255</v>
      </c>
      <c r="O78" s="282">
        <f>Assumptions!O116*(Rates!O$30+Rates!O$31)</f>
        <v>992.12332463268922</v>
      </c>
      <c r="P78" s="282">
        <f>Assumptions!P116*(Rates!P$30+Rates!P$31)</f>
        <v>1000.8604779032817</v>
      </c>
      <c r="Q78" s="282">
        <f>Assumptions!Q116*(Rates!Q$30+Rates!Q$31)</f>
        <v>1009.3275758471661</v>
      </c>
      <c r="R78" s="282">
        <f>Assumptions!R116*(Rates!R$30+Rates!R$31)</f>
        <v>1017.5356036977464</v>
      </c>
      <c r="S78" s="282">
        <f>Assumptions!S116*(Rates!S$30+Rates!S$31)</f>
        <v>1025.4762249933729</v>
      </c>
      <c r="T78" s="282">
        <f>Assumptions!T116*(Rates!T$30+Rates!T$31)</f>
        <v>1032.7911149538859</v>
      </c>
      <c r="U78" s="282">
        <f>Assumptions!U116*(Rates!U$30+Rates!U$31)</f>
        <v>1039.5322770354182</v>
      </c>
      <c r="V78" s="282">
        <f>Assumptions!V116*(Rates!V$30+Rates!V$31)</f>
        <v>1046.0094486476276</v>
      </c>
      <c r="W78" s="282">
        <f>Assumptions!W116*(Rates!W$30+Rates!W$31)</f>
        <v>1052.2186626483528</v>
      </c>
      <c r="X78" s="282">
        <f>Assumptions!X116*(Rates!X$30+Rates!X$31)</f>
        <v>1058.2021511015623</v>
      </c>
    </row>
    <row r="79" spans="1:24" x14ac:dyDescent="0.2">
      <c r="A79" s="53"/>
      <c r="B79" s="53"/>
      <c r="C79" s="53"/>
      <c r="D79" s="53"/>
      <c r="E79" s="56"/>
      <c r="F79" s="56"/>
      <c r="G79" s="56"/>
      <c r="H79" s="56"/>
      <c r="I79" s="56"/>
      <c r="J79" s="56"/>
      <c r="K79" s="56"/>
      <c r="L79" s="56"/>
      <c r="M79" s="56"/>
      <c r="N79" s="56"/>
      <c r="O79" s="56"/>
      <c r="P79" s="56"/>
      <c r="Q79" s="56"/>
      <c r="R79" s="56"/>
      <c r="S79" s="56"/>
      <c r="T79" s="56"/>
      <c r="U79" s="56"/>
      <c r="V79" s="56"/>
      <c r="W79" s="56"/>
      <c r="X79" s="56"/>
    </row>
    <row r="80" spans="1:24" s="27" customFormat="1" x14ac:dyDescent="0.2">
      <c r="A80" s="64" t="s">
        <v>62</v>
      </c>
      <c r="B80" s="64"/>
      <c r="C80" s="64"/>
      <c r="D80" s="64"/>
      <c r="E80" s="87"/>
      <c r="F80" s="87"/>
      <c r="G80" s="87"/>
      <c r="H80" s="87"/>
      <c r="I80" s="87"/>
      <c r="J80" s="87"/>
      <c r="K80" s="87"/>
      <c r="L80" s="87"/>
      <c r="M80" s="87"/>
      <c r="N80" s="87"/>
      <c r="O80" s="87"/>
      <c r="P80" s="87"/>
      <c r="Q80" s="87"/>
      <c r="R80" s="87"/>
      <c r="S80" s="87"/>
      <c r="T80" s="87"/>
      <c r="U80" s="87"/>
      <c r="V80" s="87"/>
      <c r="W80" s="87"/>
      <c r="X80" s="87"/>
    </row>
    <row r="81" spans="1:24" x14ac:dyDescent="0.2">
      <c r="A81" s="93"/>
      <c r="B81" s="93"/>
      <c r="C81" s="93"/>
      <c r="D81" s="93"/>
      <c r="E81" s="95"/>
      <c r="F81" s="95"/>
      <c r="G81" s="95"/>
      <c r="H81" s="95"/>
      <c r="I81" s="95"/>
      <c r="J81" s="95"/>
      <c r="K81" s="95"/>
      <c r="L81" s="95"/>
      <c r="M81" s="95"/>
      <c r="N81" s="95"/>
      <c r="O81" s="95"/>
      <c r="P81" s="95"/>
      <c r="Q81" s="95"/>
      <c r="R81" s="95"/>
      <c r="S81" s="95"/>
      <c r="T81" s="95"/>
      <c r="U81" s="95"/>
      <c r="V81" s="95"/>
      <c r="W81" s="95"/>
      <c r="X81" s="95"/>
    </row>
    <row r="82" spans="1:24" s="52" customFormat="1" x14ac:dyDescent="0.2">
      <c r="A82" s="96" t="s">
        <v>21</v>
      </c>
      <c r="B82" s="97"/>
      <c r="C82" s="97"/>
      <c r="D82" s="97"/>
      <c r="E82" s="98">
        <f>E9</f>
        <v>2020</v>
      </c>
      <c r="F82" s="98">
        <f t="shared" ref="F82" si="201">E82+1</f>
        <v>2021</v>
      </c>
      <c r="G82" s="98">
        <f t="shared" ref="G82" si="202">F82+1</f>
        <v>2022</v>
      </c>
      <c r="H82" s="98">
        <f t="shared" ref="H82" si="203">G82+1</f>
        <v>2023</v>
      </c>
      <c r="I82" s="98">
        <f t="shared" ref="I82" si="204">H82+1</f>
        <v>2024</v>
      </c>
      <c r="J82" s="98">
        <f t="shared" ref="J82" si="205">I82+1</f>
        <v>2025</v>
      </c>
      <c r="K82" s="98">
        <f t="shared" ref="K82" si="206">J82+1</f>
        <v>2026</v>
      </c>
      <c r="L82" s="98">
        <f t="shared" ref="L82" si="207">K82+1</f>
        <v>2027</v>
      </c>
      <c r="M82" s="98">
        <f t="shared" ref="M82" si="208">L82+1</f>
        <v>2028</v>
      </c>
      <c r="N82" s="98">
        <f t="shared" ref="N82" si="209">M82+1</f>
        <v>2029</v>
      </c>
      <c r="O82" s="98">
        <f t="shared" ref="O82" si="210">N82+1</f>
        <v>2030</v>
      </c>
      <c r="P82" s="98">
        <f t="shared" ref="P82" si="211">O82+1</f>
        <v>2031</v>
      </c>
      <c r="Q82" s="98">
        <f t="shared" ref="Q82" si="212">P82+1</f>
        <v>2032</v>
      </c>
      <c r="R82" s="98">
        <f t="shared" ref="R82" si="213">Q82+1</f>
        <v>2033</v>
      </c>
      <c r="S82" s="98">
        <f t="shared" ref="S82" si="214">R82+1</f>
        <v>2034</v>
      </c>
      <c r="T82" s="98">
        <f t="shared" ref="T82" si="215">S82+1</f>
        <v>2035</v>
      </c>
      <c r="U82" s="98">
        <f t="shared" ref="U82" si="216">T82+1</f>
        <v>2036</v>
      </c>
      <c r="V82" s="98">
        <f t="shared" ref="V82" si="217">U82+1</f>
        <v>2037</v>
      </c>
      <c r="W82" s="98">
        <f t="shared" ref="W82" si="218">V82+1</f>
        <v>2038</v>
      </c>
      <c r="X82" s="98">
        <f t="shared" ref="X82" si="219">W82+1</f>
        <v>2039</v>
      </c>
    </row>
    <row r="83" spans="1:24" s="52" customFormat="1" x14ac:dyDescent="0.2">
      <c r="A83" s="54" t="s">
        <v>231</v>
      </c>
      <c r="B83" s="97"/>
      <c r="C83" s="97"/>
      <c r="D83" s="97"/>
      <c r="E83" s="287">
        <v>100895.84560083828</v>
      </c>
      <c r="F83" s="287">
        <f>F$92*$E83/$E$92</f>
        <v>107683.05734768408</v>
      </c>
      <c r="G83" s="287">
        <f t="shared" ref="G83:W91" si="220">G$92*$E83/$E$92</f>
        <v>107461.986279605</v>
      </c>
      <c r="H83" s="287">
        <f t="shared" si="220"/>
        <v>107948.672586197</v>
      </c>
      <c r="I83" s="287">
        <f t="shared" si="220"/>
        <v>108006.41502935199</v>
      </c>
      <c r="J83" s="287">
        <f t="shared" si="220"/>
        <v>108852.75426759504</v>
      </c>
      <c r="K83" s="287">
        <f t="shared" si="220"/>
        <v>110109.88974428354</v>
      </c>
      <c r="L83" s="287">
        <f t="shared" si="220"/>
        <v>110730.20856217708</v>
      </c>
      <c r="M83" s="287">
        <f t="shared" si="220"/>
        <v>112054.98518656142</v>
      </c>
      <c r="N83" s="287">
        <f t="shared" si="220"/>
        <v>112808.93651575649</v>
      </c>
      <c r="O83" s="287">
        <f t="shared" si="220"/>
        <v>113350.0656973232</v>
      </c>
      <c r="P83" s="287">
        <f t="shared" si="220"/>
        <v>115125.23337831642</v>
      </c>
      <c r="Q83" s="287">
        <f t="shared" si="220"/>
        <v>117075.27817286472</v>
      </c>
      <c r="R83" s="287">
        <f t="shared" si="220"/>
        <v>118436.35004723219</v>
      </c>
      <c r="S83" s="287">
        <f t="shared" si="220"/>
        <v>120394.64376223121</v>
      </c>
      <c r="T83" s="287">
        <f t="shared" si="220"/>
        <v>121501.64888671675</v>
      </c>
      <c r="U83" s="287">
        <f t="shared" si="220"/>
        <v>122994.70348829562</v>
      </c>
      <c r="V83" s="287">
        <f t="shared" si="220"/>
        <v>123633.16993118072</v>
      </c>
      <c r="W83" s="287">
        <f t="shared" si="220"/>
        <v>125015.68899872004</v>
      </c>
      <c r="X83" s="287">
        <f t="shared" ref="W83:X91" si="221">X$92*$E83/$E$92</f>
        <v>125951.11657783079</v>
      </c>
    </row>
    <row r="84" spans="1:24" s="52" customFormat="1" x14ac:dyDescent="0.2">
      <c r="A84" s="54" t="s">
        <v>232</v>
      </c>
      <c r="B84" s="97"/>
      <c r="C84" s="97"/>
      <c r="D84" s="97"/>
      <c r="E84" s="287">
        <v>105240.35133918985</v>
      </c>
      <c r="F84" s="287">
        <f t="shared" ref="F84:U93" si="222">F$92*$E84/$E$92</f>
        <v>112319.81575715389</v>
      </c>
      <c r="G84" s="287">
        <f t="shared" si="222"/>
        <v>112089.22552088574</v>
      </c>
      <c r="H84" s="287">
        <f t="shared" si="222"/>
        <v>112596.86820520741</v>
      </c>
      <c r="I84" s="287">
        <f t="shared" si="222"/>
        <v>112657.09699826254</v>
      </c>
      <c r="J84" s="287">
        <f t="shared" si="222"/>
        <v>113539.87902218464</v>
      </c>
      <c r="K84" s="287">
        <f t="shared" si="222"/>
        <v>114851.14588812742</v>
      </c>
      <c r="L84" s="287">
        <f t="shared" si="222"/>
        <v>115498.17520780522</v>
      </c>
      <c r="M84" s="287">
        <f t="shared" si="222"/>
        <v>116879.99580275542</v>
      </c>
      <c r="N84" s="287">
        <f t="shared" si="222"/>
        <v>117666.41175778935</v>
      </c>
      <c r="O84" s="287">
        <f t="shared" si="222"/>
        <v>118230.8415898487</v>
      </c>
      <c r="P84" s="287">
        <f t="shared" si="222"/>
        <v>120082.44677062881</v>
      </c>
      <c r="Q84" s="287">
        <f t="shared" si="222"/>
        <v>122116.45915323295</v>
      </c>
      <c r="R84" s="287">
        <f t="shared" si="222"/>
        <v>123536.13784667494</v>
      </c>
      <c r="S84" s="287">
        <f t="shared" si="222"/>
        <v>125578.75434257269</v>
      </c>
      <c r="T84" s="287">
        <f t="shared" si="222"/>
        <v>126733.42634657217</v>
      </c>
      <c r="U84" s="287">
        <f t="shared" si="222"/>
        <v>128290.77085271156</v>
      </c>
      <c r="V84" s="287">
        <f t="shared" si="220"/>
        <v>128956.72922163525</v>
      </c>
      <c r="W84" s="287">
        <f t="shared" si="221"/>
        <v>130398.77860964058</v>
      </c>
      <c r="X84" s="287">
        <f t="shared" si="221"/>
        <v>131374.48505713342</v>
      </c>
    </row>
    <row r="85" spans="1:24" x14ac:dyDescent="0.2">
      <c r="A85" s="54" t="s">
        <v>230</v>
      </c>
      <c r="B85" s="54"/>
      <c r="C85" s="54"/>
      <c r="D85" s="54"/>
      <c r="E85" s="58">
        <v>91210.881907393399</v>
      </c>
      <c r="F85" s="287">
        <f t="shared" si="222"/>
        <v>97346.591117574018</v>
      </c>
      <c r="G85" s="287">
        <f t="shared" si="220"/>
        <v>97146.740598817531</v>
      </c>
      <c r="H85" s="287">
        <f t="shared" si="220"/>
        <v>97586.710024438173</v>
      </c>
      <c r="I85" s="287">
        <f t="shared" si="220"/>
        <v>97638.909786799937</v>
      </c>
      <c r="J85" s="287">
        <f t="shared" si="220"/>
        <v>98404.009160845308</v>
      </c>
      <c r="K85" s="287">
        <f t="shared" si="220"/>
        <v>99540.472558550129</v>
      </c>
      <c r="L85" s="287">
        <f t="shared" si="220"/>
        <v>100101.24714849371</v>
      </c>
      <c r="M85" s="287">
        <f t="shared" si="220"/>
        <v>101298.8588392509</v>
      </c>
      <c r="N85" s="287">
        <f t="shared" si="220"/>
        <v>101980.43859351744</v>
      </c>
      <c r="O85" s="287">
        <f t="shared" si="220"/>
        <v>102469.6249379363</v>
      </c>
      <c r="P85" s="287">
        <f t="shared" si="220"/>
        <v>104074.3947751153</v>
      </c>
      <c r="Q85" s="287">
        <f t="shared" si="220"/>
        <v>105837.25532116136</v>
      </c>
      <c r="R85" s="287">
        <f t="shared" si="220"/>
        <v>107067.67829111737</v>
      </c>
      <c r="S85" s="287">
        <f t="shared" si="220"/>
        <v>108837.99594607225</v>
      </c>
      <c r="T85" s="287">
        <f t="shared" si="220"/>
        <v>109838.73996163647</v>
      </c>
      <c r="U85" s="287">
        <f t="shared" si="220"/>
        <v>111188.47667413366</v>
      </c>
      <c r="V85" s="287">
        <f t="shared" si="220"/>
        <v>111765.65690367667</v>
      </c>
      <c r="W85" s="287">
        <f t="shared" si="221"/>
        <v>113015.46835679562</v>
      </c>
      <c r="X85" s="287">
        <f t="shared" si="221"/>
        <v>113861.10450705628</v>
      </c>
    </row>
    <row r="86" spans="1:24" x14ac:dyDescent="0.2">
      <c r="A86" s="55" t="s">
        <v>151</v>
      </c>
      <c r="B86" s="55"/>
      <c r="C86" s="55"/>
      <c r="D86" s="55"/>
      <c r="E86" s="58">
        <v>160561.5</v>
      </c>
      <c r="F86" s="287">
        <f t="shared" si="222"/>
        <v>171362.38969373907</v>
      </c>
      <c r="G86" s="287">
        <f t="shared" si="220"/>
        <v>171010.58628611607</v>
      </c>
      <c r="H86" s="287">
        <f t="shared" si="220"/>
        <v>171785.07886259953</v>
      </c>
      <c r="I86" s="287">
        <f t="shared" si="220"/>
        <v>171876.96781235182</v>
      </c>
      <c r="J86" s="287">
        <f t="shared" si="220"/>
        <v>173223.79727586376</v>
      </c>
      <c r="K86" s="287">
        <f t="shared" si="220"/>
        <v>175224.35098189904</v>
      </c>
      <c r="L86" s="287">
        <f t="shared" si="220"/>
        <v>176211.50084209495</v>
      </c>
      <c r="M86" s="287">
        <f t="shared" si="220"/>
        <v>178319.69588926859</v>
      </c>
      <c r="N86" s="287">
        <f t="shared" si="220"/>
        <v>179519.50303317691</v>
      </c>
      <c r="O86" s="287">
        <f t="shared" si="220"/>
        <v>180380.63376228395</v>
      </c>
      <c r="P86" s="287">
        <f t="shared" si="220"/>
        <v>183205.56261752537</v>
      </c>
      <c r="Q86" s="287">
        <f t="shared" si="220"/>
        <v>186308.78372058799</v>
      </c>
      <c r="R86" s="287">
        <f t="shared" si="220"/>
        <v>188474.73753617739</v>
      </c>
      <c r="S86" s="287">
        <f t="shared" si="220"/>
        <v>191591.08563206173</v>
      </c>
      <c r="T86" s="287">
        <f t="shared" si="220"/>
        <v>193352.7280687411</v>
      </c>
      <c r="U86" s="287">
        <f t="shared" si="220"/>
        <v>195728.71376947855</v>
      </c>
      <c r="V86" s="287">
        <f t="shared" si="220"/>
        <v>196744.74301388231</v>
      </c>
      <c r="W86" s="287">
        <f t="shared" si="221"/>
        <v>198944.82701080825</v>
      </c>
      <c r="X86" s="287">
        <f t="shared" si="221"/>
        <v>200433.42799679513</v>
      </c>
    </row>
    <row r="87" spans="1:24" x14ac:dyDescent="0.2">
      <c r="A87" s="55" t="s">
        <v>152</v>
      </c>
      <c r="B87" s="55"/>
      <c r="C87" s="55"/>
      <c r="D87" s="55"/>
      <c r="E87" s="58">
        <v>37281.1</v>
      </c>
      <c r="F87" s="287">
        <f t="shared" si="222"/>
        <v>39788.980461762345</v>
      </c>
      <c r="G87" s="287">
        <f t="shared" si="220"/>
        <v>39707.294515754533</v>
      </c>
      <c r="H87" s="287">
        <f t="shared" si="220"/>
        <v>39887.125516294123</v>
      </c>
      <c r="I87" s="287">
        <f t="shared" si="220"/>
        <v>39908.461397714076</v>
      </c>
      <c r="J87" s="287">
        <f t="shared" si="220"/>
        <v>40221.184459669377</v>
      </c>
      <c r="K87" s="287">
        <f t="shared" si="220"/>
        <v>40685.697078012323</v>
      </c>
      <c r="L87" s="287">
        <f t="shared" si="220"/>
        <v>40914.905404123805</v>
      </c>
      <c r="M87" s="287">
        <f t="shared" si="220"/>
        <v>41404.41148355871</v>
      </c>
      <c r="N87" s="287">
        <f t="shared" si="220"/>
        <v>41682.997135242076</v>
      </c>
      <c r="O87" s="287">
        <f t="shared" si="220"/>
        <v>41882.944823977632</v>
      </c>
      <c r="P87" s="287">
        <f t="shared" si="220"/>
        <v>42538.870778488148</v>
      </c>
      <c r="Q87" s="287">
        <f t="shared" si="220"/>
        <v>43259.413973870534</v>
      </c>
      <c r="R87" s="287">
        <f t="shared" si="220"/>
        <v>43762.331178769397</v>
      </c>
      <c r="S87" s="287">
        <f t="shared" si="220"/>
        <v>44485.922357211763</v>
      </c>
      <c r="T87" s="287">
        <f t="shared" si="220"/>
        <v>44894.961683862843</v>
      </c>
      <c r="U87" s="287">
        <f t="shared" si="220"/>
        <v>45446.646617721599</v>
      </c>
      <c r="V87" s="287">
        <f t="shared" si="220"/>
        <v>45682.560506565074</v>
      </c>
      <c r="W87" s="287">
        <f t="shared" si="221"/>
        <v>46193.402467419917</v>
      </c>
      <c r="X87" s="287">
        <f t="shared" si="221"/>
        <v>46539.043746423144</v>
      </c>
    </row>
    <row r="88" spans="1:24" x14ac:dyDescent="0.2">
      <c r="A88" s="55" t="s">
        <v>153</v>
      </c>
      <c r="B88" s="57"/>
      <c r="C88" s="57"/>
      <c r="D88" s="57"/>
      <c r="E88" s="58">
        <v>35072.1</v>
      </c>
      <c r="F88" s="287">
        <f t="shared" si="222"/>
        <v>37431.38216557385</v>
      </c>
      <c r="G88" s="287">
        <f t="shared" si="220"/>
        <v>37354.53631963634</v>
      </c>
      <c r="H88" s="287">
        <f t="shared" si="220"/>
        <v>37523.711875991299</v>
      </c>
      <c r="I88" s="287">
        <f t="shared" si="220"/>
        <v>37543.783552169007</v>
      </c>
      <c r="J88" s="287">
        <f t="shared" si="220"/>
        <v>37837.976977287966</v>
      </c>
      <c r="K88" s="287">
        <f t="shared" si="220"/>
        <v>38274.966041499742</v>
      </c>
      <c r="L88" s="287">
        <f t="shared" si="220"/>
        <v>38490.593191294531</v>
      </c>
      <c r="M88" s="287">
        <f t="shared" si="220"/>
        <v>38951.094790457348</v>
      </c>
      <c r="N88" s="287">
        <f t="shared" si="220"/>
        <v>39213.173533691966</v>
      </c>
      <c r="O88" s="287">
        <f t="shared" si="220"/>
        <v>39401.273813300191</v>
      </c>
      <c r="P88" s="287">
        <f t="shared" si="220"/>
        <v>40018.33448664911</v>
      </c>
      <c r="Q88" s="287">
        <f t="shared" si="220"/>
        <v>40696.183664993376</v>
      </c>
      <c r="R88" s="287">
        <f t="shared" si="220"/>
        <v>41169.301746325036</v>
      </c>
      <c r="S88" s="287">
        <f t="shared" si="220"/>
        <v>41850.01830698039</v>
      </c>
      <c r="T88" s="287">
        <f t="shared" si="220"/>
        <v>42234.821013130138</v>
      </c>
      <c r="U88" s="287">
        <f t="shared" si="220"/>
        <v>42753.817211439404</v>
      </c>
      <c r="V88" s="287">
        <f t="shared" si="220"/>
        <v>42975.752602318622</v>
      </c>
      <c r="W88" s="287">
        <f t="shared" si="221"/>
        <v>43456.325877659139</v>
      </c>
      <c r="X88" s="287">
        <f t="shared" si="221"/>
        <v>43781.48703173799</v>
      </c>
    </row>
    <row r="89" spans="1:24" x14ac:dyDescent="0.2">
      <c r="A89" s="55" t="s">
        <v>154</v>
      </c>
      <c r="B89" s="57"/>
      <c r="C89" s="57"/>
      <c r="D89" s="57"/>
      <c r="E89" s="58">
        <v>43920.9</v>
      </c>
      <c r="F89" s="287">
        <f t="shared" si="222"/>
        <v>46875.436399758</v>
      </c>
      <c r="G89" s="287">
        <f t="shared" si="220"/>
        <v>46779.202107690049</v>
      </c>
      <c r="H89" s="287">
        <f t="shared" si="220"/>
        <v>46991.061183511294</v>
      </c>
      <c r="I89" s="287">
        <f t="shared" si="220"/>
        <v>47016.197006066359</v>
      </c>
      <c r="J89" s="287">
        <f t="shared" si="220"/>
        <v>47384.616348087708</v>
      </c>
      <c r="K89" s="287">
        <f t="shared" si="220"/>
        <v>47931.859113429375</v>
      </c>
      <c r="L89" s="287">
        <f t="shared" si="220"/>
        <v>48201.889664306625</v>
      </c>
      <c r="M89" s="287">
        <f t="shared" si="220"/>
        <v>48778.577250355644</v>
      </c>
      <c r="N89" s="287">
        <f t="shared" si="220"/>
        <v>49106.7792762889</v>
      </c>
      <c r="O89" s="287">
        <f t="shared" si="220"/>
        <v>49342.337841947774</v>
      </c>
      <c r="P89" s="287">
        <f t="shared" si="220"/>
        <v>50115.084843926292</v>
      </c>
      <c r="Q89" s="287">
        <f t="shared" si="220"/>
        <v>50963.957479928707</v>
      </c>
      <c r="R89" s="287">
        <f t="shared" si="220"/>
        <v>51556.444725869485</v>
      </c>
      <c r="S89" s="287">
        <f t="shared" si="220"/>
        <v>52408.908193665484</v>
      </c>
      <c r="T89" s="287">
        <f t="shared" si="220"/>
        <v>52890.797820363987</v>
      </c>
      <c r="U89" s="287">
        <f t="shared" si="220"/>
        <v>53540.738375002045</v>
      </c>
      <c r="V89" s="287">
        <f t="shared" si="220"/>
        <v>53818.668755825172</v>
      </c>
      <c r="W89" s="287">
        <f t="shared" si="221"/>
        <v>54420.492164429255</v>
      </c>
      <c r="X89" s="287">
        <f t="shared" si="221"/>
        <v>54827.692489821275</v>
      </c>
    </row>
    <row r="90" spans="1:24" x14ac:dyDescent="0.2">
      <c r="A90" s="55" t="s">
        <v>155</v>
      </c>
      <c r="B90" s="57"/>
      <c r="C90" s="57"/>
      <c r="D90" s="57"/>
      <c r="E90" s="58">
        <v>44287.4</v>
      </c>
      <c r="F90" s="287">
        <f t="shared" si="222"/>
        <v>47266.590666644865</v>
      </c>
      <c r="G90" s="287">
        <f t="shared" si="220"/>
        <v>47169.553343035142</v>
      </c>
      <c r="H90" s="287">
        <f t="shared" si="220"/>
        <v>47383.180286802824</v>
      </c>
      <c r="I90" s="287">
        <f t="shared" si="220"/>
        <v>47408.525856402375</v>
      </c>
      <c r="J90" s="287">
        <f t="shared" si="220"/>
        <v>47780.019490818711</v>
      </c>
      <c r="K90" s="287">
        <f t="shared" si="220"/>
        <v>48331.828748957603</v>
      </c>
      <c r="L90" s="287">
        <f t="shared" si="220"/>
        <v>48604.112582369969</v>
      </c>
      <c r="M90" s="287">
        <f t="shared" si="220"/>
        <v>49185.612364896908</v>
      </c>
      <c r="N90" s="287">
        <f t="shared" si="220"/>
        <v>49516.553087953958</v>
      </c>
      <c r="O90" s="287">
        <f t="shared" si="220"/>
        <v>49754.077283058359</v>
      </c>
      <c r="P90" s="287">
        <f t="shared" si="220"/>
        <v>50533.272508461829</v>
      </c>
      <c r="Q90" s="287">
        <f t="shared" si="220"/>
        <v>51389.228601795381</v>
      </c>
      <c r="R90" s="287">
        <f t="shared" si="220"/>
        <v>51986.659885213463</v>
      </c>
      <c r="S90" s="287">
        <f t="shared" si="220"/>
        <v>52846.236774204102</v>
      </c>
      <c r="T90" s="287">
        <f t="shared" si="220"/>
        <v>53332.147551384143</v>
      </c>
      <c r="U90" s="287">
        <f t="shared" si="220"/>
        <v>53987.511565315501</v>
      </c>
      <c r="V90" s="287">
        <f t="shared" si="220"/>
        <v>54267.761149173435</v>
      </c>
      <c r="W90" s="287">
        <f t="shared" si="221"/>
        <v>54874.606501299939</v>
      </c>
      <c r="X90" s="287">
        <f t="shared" si="221"/>
        <v>55285.204728812729</v>
      </c>
    </row>
    <row r="91" spans="1:24" x14ac:dyDescent="0.2">
      <c r="A91" s="55" t="s">
        <v>156</v>
      </c>
      <c r="B91" s="55"/>
      <c r="C91" s="55"/>
      <c r="D91" s="55"/>
      <c r="E91" s="58">
        <v>120191.4</v>
      </c>
      <c r="F91" s="287">
        <f t="shared" si="222"/>
        <v>128276.61378746504</v>
      </c>
      <c r="G91" s="287">
        <f t="shared" si="220"/>
        <v>128013.26457805319</v>
      </c>
      <c r="H91" s="287">
        <f t="shared" si="220"/>
        <v>128593.02589728075</v>
      </c>
      <c r="I91" s="287">
        <f t="shared" si="220"/>
        <v>128661.81113854505</v>
      </c>
      <c r="J91" s="287">
        <f t="shared" si="220"/>
        <v>129670.00624621875</v>
      </c>
      <c r="K91" s="287">
        <f t="shared" si="220"/>
        <v>131167.55921317264</v>
      </c>
      <c r="L91" s="287">
        <f t="shared" si="220"/>
        <v>131906.50923361184</v>
      </c>
      <c r="M91" s="287">
        <f t="shared" si="220"/>
        <v>133484.63919747534</v>
      </c>
      <c r="N91" s="287">
        <f t="shared" si="220"/>
        <v>134382.77791912618</v>
      </c>
      <c r="O91" s="287">
        <f t="shared" si="220"/>
        <v>135027.39389440292</v>
      </c>
      <c r="P91" s="287">
        <f t="shared" si="220"/>
        <v>137142.04874012785</v>
      </c>
      <c r="Q91" s="287">
        <f t="shared" si="220"/>
        <v>139465.02460225319</v>
      </c>
      <c r="R91" s="287">
        <f t="shared" si="220"/>
        <v>141086.39100348286</v>
      </c>
      <c r="S91" s="287">
        <f t="shared" si="220"/>
        <v>143419.19332864592</v>
      </c>
      <c r="T91" s="287">
        <f t="shared" si="220"/>
        <v>144737.90466831269</v>
      </c>
      <c r="U91" s="287">
        <f t="shared" si="220"/>
        <v>146516.4944781464</v>
      </c>
      <c r="V91" s="287">
        <f t="shared" si="220"/>
        <v>147277.06271726868</v>
      </c>
      <c r="W91" s="287">
        <f t="shared" si="221"/>
        <v>148923.97792239644</v>
      </c>
      <c r="X91" s="287">
        <f t="shared" si="221"/>
        <v>150038.2988308779</v>
      </c>
    </row>
    <row r="92" spans="1:24" x14ac:dyDescent="0.2">
      <c r="A92" s="55" t="s">
        <v>91</v>
      </c>
      <c r="B92" s="55"/>
      <c r="C92" s="55"/>
      <c r="D92" s="55"/>
      <c r="E92" s="59">
        <v>61157</v>
      </c>
      <c r="F92" s="59">
        <f>Assumptions!F35</f>
        <v>65271</v>
      </c>
      <c r="G92" s="59">
        <f>Assumptions!G35</f>
        <v>65137</v>
      </c>
      <c r="H92" s="59">
        <f>Assumptions!H35</f>
        <v>65432</v>
      </c>
      <c r="I92" s="59">
        <f>Assumptions!I35</f>
        <v>65467</v>
      </c>
      <c r="J92" s="59">
        <f>Assumptions!J35</f>
        <v>65980</v>
      </c>
      <c r="K92" s="59">
        <f>Assumptions!K35</f>
        <v>66742</v>
      </c>
      <c r="L92" s="59">
        <f>Assumptions!L35</f>
        <v>67118</v>
      </c>
      <c r="M92" s="59">
        <f>Assumptions!M35</f>
        <v>67921</v>
      </c>
      <c r="N92" s="59">
        <f>Assumptions!N35</f>
        <v>68378</v>
      </c>
      <c r="O92" s="59">
        <f>Assumptions!O35</f>
        <v>68706</v>
      </c>
      <c r="P92" s="59">
        <f>Assumptions!P35</f>
        <v>69782</v>
      </c>
      <c r="Q92" s="59">
        <f>Assumptions!Q35</f>
        <v>70964</v>
      </c>
      <c r="R92" s="59">
        <f>Assumptions!R35</f>
        <v>71789</v>
      </c>
      <c r="S92" s="59">
        <f>Assumptions!S35</f>
        <v>72976</v>
      </c>
      <c r="T92" s="59">
        <f>Assumptions!T35</f>
        <v>73647</v>
      </c>
      <c r="U92" s="59">
        <f>Assumptions!U35</f>
        <v>74552</v>
      </c>
      <c r="V92" s="59">
        <f>Assumptions!V35</f>
        <v>74939</v>
      </c>
      <c r="W92" s="59">
        <f>Assumptions!W35</f>
        <v>75777</v>
      </c>
      <c r="X92" s="59">
        <f>Assumptions!X35</f>
        <v>76344</v>
      </c>
    </row>
    <row r="93" spans="1:24" x14ac:dyDescent="0.2">
      <c r="A93" s="55" t="s">
        <v>161</v>
      </c>
      <c r="B93" s="55"/>
      <c r="C93" s="55"/>
      <c r="D93" s="55"/>
      <c r="E93" s="58">
        <v>5477.6</v>
      </c>
      <c r="F93" s="58">
        <f t="shared" si="222"/>
        <v>5846.0753405170308</v>
      </c>
      <c r="G93" s="58">
        <f t="shared" si="222"/>
        <v>5834.0734699216782</v>
      </c>
      <c r="H93" s="58">
        <f t="shared" si="222"/>
        <v>5860.4954984711485</v>
      </c>
      <c r="I93" s="58">
        <f t="shared" si="222"/>
        <v>5863.6303154176958</v>
      </c>
      <c r="J93" s="58">
        <f t="shared" si="222"/>
        <v>5909.5777752342328</v>
      </c>
      <c r="K93" s="58">
        <f t="shared" si="222"/>
        <v>5977.8272184704947</v>
      </c>
      <c r="L93" s="58">
        <f t="shared" si="222"/>
        <v>6011.5041090962604</v>
      </c>
      <c r="M93" s="58">
        <f t="shared" si="222"/>
        <v>6083.4257664699053</v>
      </c>
      <c r="N93" s="58">
        <f t="shared" si="222"/>
        <v>6124.3575191719674</v>
      </c>
      <c r="O93" s="58">
        <f t="shared" si="222"/>
        <v>6153.7352322710403</v>
      </c>
      <c r="P93" s="58">
        <f t="shared" si="222"/>
        <v>6250.1084618277555</v>
      </c>
      <c r="Q93" s="58">
        <f t="shared" si="222"/>
        <v>6355.9757084225848</v>
      </c>
      <c r="R93" s="58">
        <f t="shared" si="222"/>
        <v>6429.8678221626315</v>
      </c>
      <c r="S93" s="58">
        <f t="shared" si="222"/>
        <v>6536.1828997498242</v>
      </c>
      <c r="T93" s="58">
        <f t="shared" si="222"/>
        <v>6596.2818189250629</v>
      </c>
      <c r="U93" s="58">
        <f t="shared" si="222"/>
        <v>6677.3392285429309</v>
      </c>
      <c r="V93" s="58">
        <f t="shared" ref="V93:X93" si="223">V$92*$E93/$E$92</f>
        <v>6712.0013473518984</v>
      </c>
      <c r="W93" s="58">
        <f t="shared" si="223"/>
        <v>6787.0578216720905</v>
      </c>
      <c r="X93" s="58">
        <f t="shared" si="223"/>
        <v>6837.8418562061588</v>
      </c>
    </row>
    <row r="94" spans="1:24" x14ac:dyDescent="0.2">
      <c r="A94" s="53"/>
      <c r="B94" s="53"/>
      <c r="C94" s="53"/>
      <c r="D94" s="53"/>
      <c r="E94" s="56"/>
      <c r="F94" s="56"/>
      <c r="G94" s="56"/>
      <c r="H94" s="56"/>
      <c r="I94" s="56"/>
      <c r="J94" s="56"/>
      <c r="K94" s="56"/>
      <c r="L94" s="56"/>
      <c r="M94" s="56"/>
      <c r="N94" s="56"/>
      <c r="O94" s="56"/>
      <c r="P94" s="56"/>
      <c r="Q94" s="56"/>
      <c r="R94" s="56"/>
      <c r="S94" s="56"/>
      <c r="T94" s="56"/>
      <c r="U94" s="56"/>
      <c r="V94" s="56"/>
      <c r="W94" s="56"/>
      <c r="X94" s="56"/>
    </row>
    <row r="95" spans="1:24" s="27" customFormat="1" x14ac:dyDescent="0.2">
      <c r="A95" s="64" t="s">
        <v>325</v>
      </c>
      <c r="B95" s="64"/>
      <c r="C95" s="64"/>
      <c r="D95" s="64"/>
      <c r="E95" s="87"/>
      <c r="F95" s="87"/>
      <c r="G95" s="87"/>
      <c r="H95" s="87"/>
      <c r="I95" s="87"/>
      <c r="J95" s="87"/>
      <c r="K95" s="87"/>
      <c r="L95" s="87"/>
      <c r="M95" s="87"/>
      <c r="N95" s="87"/>
      <c r="O95" s="87"/>
      <c r="P95" s="87"/>
      <c r="Q95" s="87"/>
      <c r="R95" s="87"/>
      <c r="S95" s="87"/>
      <c r="T95" s="87"/>
      <c r="U95" s="87"/>
      <c r="V95" s="87"/>
      <c r="W95" s="87"/>
      <c r="X95" s="87"/>
    </row>
    <row r="96" spans="1:24" x14ac:dyDescent="0.2">
      <c r="A96" s="93"/>
      <c r="B96" s="93"/>
      <c r="C96" s="93"/>
      <c r="D96" s="93"/>
      <c r="E96" s="95"/>
      <c r="F96" s="95"/>
      <c r="G96" s="95"/>
      <c r="H96" s="95"/>
      <c r="I96" s="95"/>
      <c r="J96" s="95"/>
      <c r="K96" s="95"/>
      <c r="L96" s="95"/>
      <c r="M96" s="95"/>
      <c r="N96" s="95"/>
      <c r="O96" s="95"/>
      <c r="P96" s="95"/>
      <c r="Q96" s="95"/>
      <c r="R96" s="95"/>
      <c r="S96" s="95"/>
      <c r="T96" s="95"/>
      <c r="U96" s="95"/>
      <c r="V96" s="95"/>
      <c r="W96" s="95"/>
      <c r="X96" s="95"/>
    </row>
    <row r="97" spans="1:24" s="52" customFormat="1" x14ac:dyDescent="0.2">
      <c r="A97" s="96" t="s">
        <v>63</v>
      </c>
      <c r="B97" s="97"/>
      <c r="C97" s="97"/>
      <c r="D97" s="97"/>
      <c r="E97" s="98">
        <f>E9</f>
        <v>2020</v>
      </c>
      <c r="F97" s="98">
        <f t="shared" ref="F97" si="224">E97+1</f>
        <v>2021</v>
      </c>
      <c r="G97" s="98">
        <f t="shared" ref="G97" si="225">F97+1</f>
        <v>2022</v>
      </c>
      <c r="H97" s="98">
        <f t="shared" ref="H97" si="226">G97+1</f>
        <v>2023</v>
      </c>
      <c r="I97" s="98">
        <f t="shared" ref="I97" si="227">H97+1</f>
        <v>2024</v>
      </c>
      <c r="J97" s="98">
        <f t="shared" ref="J97" si="228">I97+1</f>
        <v>2025</v>
      </c>
      <c r="K97" s="98">
        <f t="shared" ref="K97" si="229">J97+1</f>
        <v>2026</v>
      </c>
      <c r="L97" s="98">
        <f t="shared" ref="L97" si="230">K97+1</f>
        <v>2027</v>
      </c>
      <c r="M97" s="98">
        <f t="shared" ref="M97" si="231">L97+1</f>
        <v>2028</v>
      </c>
      <c r="N97" s="98">
        <f t="shared" ref="N97" si="232">M97+1</f>
        <v>2029</v>
      </c>
      <c r="O97" s="98">
        <f t="shared" ref="O97" si="233">N97+1</f>
        <v>2030</v>
      </c>
      <c r="P97" s="98">
        <f t="shared" ref="P97" si="234">O97+1</f>
        <v>2031</v>
      </c>
      <c r="Q97" s="98">
        <f t="shared" ref="Q97" si="235">P97+1</f>
        <v>2032</v>
      </c>
      <c r="R97" s="98">
        <f t="shared" ref="R97" si="236">Q97+1</f>
        <v>2033</v>
      </c>
      <c r="S97" s="98">
        <f t="shared" ref="S97" si="237">R97+1</f>
        <v>2034</v>
      </c>
      <c r="T97" s="98">
        <f t="shared" ref="T97" si="238">S97+1</f>
        <v>2035</v>
      </c>
      <c r="U97" s="98">
        <f t="shared" ref="U97" si="239">T97+1</f>
        <v>2036</v>
      </c>
      <c r="V97" s="98">
        <f t="shared" ref="V97" si="240">U97+1</f>
        <v>2037</v>
      </c>
      <c r="W97" s="98">
        <f t="shared" ref="W97" si="241">V97+1</f>
        <v>2038</v>
      </c>
      <c r="X97" s="98">
        <f t="shared" ref="X97" si="242">W97+1</f>
        <v>2039</v>
      </c>
    </row>
    <row r="98" spans="1:24" x14ac:dyDescent="0.2">
      <c r="A98" s="9" t="s">
        <v>51</v>
      </c>
      <c r="B98" s="9"/>
      <c r="C98" s="9"/>
      <c r="D98" s="9"/>
      <c r="E98" s="116"/>
      <c r="F98" s="116"/>
      <c r="G98" s="116"/>
      <c r="H98" s="116"/>
      <c r="I98" s="116"/>
      <c r="J98" s="116"/>
      <c r="K98" s="116"/>
      <c r="L98" s="116"/>
      <c r="M98" s="116"/>
      <c r="N98" s="116"/>
      <c r="O98" s="116"/>
      <c r="P98" s="116"/>
      <c r="Q98" s="116"/>
      <c r="R98" s="116"/>
      <c r="S98" s="116"/>
      <c r="T98" s="116"/>
      <c r="U98" s="116"/>
      <c r="V98" s="116"/>
      <c r="W98" s="116"/>
      <c r="X98" s="116"/>
    </row>
    <row r="99" spans="1:24" x14ac:dyDescent="0.2">
      <c r="A99" s="117" t="s">
        <v>94</v>
      </c>
      <c r="B99" s="54"/>
      <c r="C99" s="54"/>
      <c r="D99" s="54"/>
      <c r="E99" s="106">
        <f t="shared" ref="E99:V99" si="243">ROUND(E42*1000000/E85,0)</f>
        <v>10814</v>
      </c>
      <c r="F99" s="106">
        <f t="shared" si="243"/>
        <v>10424</v>
      </c>
      <c r="G99" s="106">
        <f t="shared" si="243"/>
        <v>10635</v>
      </c>
      <c r="H99" s="106">
        <f t="shared" si="243"/>
        <v>10830</v>
      </c>
      <c r="I99" s="106">
        <f t="shared" si="243"/>
        <v>11508</v>
      </c>
      <c r="J99" s="106">
        <f t="shared" si="243"/>
        <v>11964</v>
      </c>
      <c r="K99" s="106">
        <f t="shared" si="243"/>
        <v>11999</v>
      </c>
      <c r="L99" s="106">
        <f t="shared" si="243"/>
        <v>12098</v>
      </c>
      <c r="M99" s="106">
        <f t="shared" si="243"/>
        <v>12116</v>
      </c>
      <c r="N99" s="106">
        <f t="shared" si="243"/>
        <v>12191</v>
      </c>
      <c r="O99" s="106">
        <f t="shared" si="243"/>
        <v>12263</v>
      </c>
      <c r="P99" s="106">
        <f t="shared" si="243"/>
        <v>12180</v>
      </c>
      <c r="Q99" s="106">
        <f t="shared" si="243"/>
        <v>12079</v>
      </c>
      <c r="R99" s="106">
        <f t="shared" si="243"/>
        <v>12037</v>
      </c>
      <c r="S99" s="106">
        <f t="shared" si="243"/>
        <v>11934</v>
      </c>
      <c r="T99" s="106">
        <f t="shared" si="243"/>
        <v>11909</v>
      </c>
      <c r="U99" s="106">
        <f t="shared" si="243"/>
        <v>11841</v>
      </c>
      <c r="V99" s="106">
        <f t="shared" si="243"/>
        <v>11854</v>
      </c>
      <c r="W99" s="106">
        <f t="shared" ref="W99:X99" si="244">ROUND(W42*1000000/W85,0)</f>
        <v>11792</v>
      </c>
      <c r="X99" s="106">
        <f t="shared" si="244"/>
        <v>11771</v>
      </c>
    </row>
    <row r="100" spans="1:24" x14ac:dyDescent="0.2">
      <c r="A100" s="118" t="s">
        <v>92</v>
      </c>
      <c r="B100" s="55"/>
      <c r="C100" s="55"/>
      <c r="D100" s="55"/>
      <c r="E100" s="107">
        <f t="shared" ref="E100:V100" si="245">ROUND(E43*1000000/E92/1000,2)</f>
        <v>1.1299999999999999</v>
      </c>
      <c r="F100" s="107">
        <f t="shared" si="245"/>
        <v>1.0900000000000001</v>
      </c>
      <c r="G100" s="107">
        <f t="shared" si="245"/>
        <v>1.1100000000000001</v>
      </c>
      <c r="H100" s="107">
        <f t="shared" si="245"/>
        <v>1.1299999999999999</v>
      </c>
      <c r="I100" s="107">
        <f t="shared" si="245"/>
        <v>1.2</v>
      </c>
      <c r="J100" s="107">
        <f t="shared" si="245"/>
        <v>1.25</v>
      </c>
      <c r="K100" s="107">
        <f t="shared" si="245"/>
        <v>1.26</v>
      </c>
      <c r="L100" s="107">
        <f t="shared" si="245"/>
        <v>1.27</v>
      </c>
      <c r="M100" s="107">
        <f t="shared" si="245"/>
        <v>1.27</v>
      </c>
      <c r="N100" s="107">
        <f t="shared" si="245"/>
        <v>1.28</v>
      </c>
      <c r="O100" s="107">
        <f t="shared" si="245"/>
        <v>1.28</v>
      </c>
      <c r="P100" s="107">
        <f t="shared" si="245"/>
        <v>1.27</v>
      </c>
      <c r="Q100" s="107">
        <f t="shared" si="245"/>
        <v>1.26</v>
      </c>
      <c r="R100" s="107">
        <f t="shared" si="245"/>
        <v>1.26</v>
      </c>
      <c r="S100" s="107">
        <f t="shared" si="245"/>
        <v>1.25</v>
      </c>
      <c r="T100" s="107">
        <f t="shared" si="245"/>
        <v>1.25</v>
      </c>
      <c r="U100" s="107">
        <f t="shared" si="245"/>
        <v>1.24</v>
      </c>
      <c r="V100" s="107">
        <f t="shared" si="245"/>
        <v>1.24</v>
      </c>
      <c r="W100" s="107">
        <f t="shared" ref="W100:X100" si="246">ROUND(W43*1000000/W92/1000,2)</f>
        <v>1.23</v>
      </c>
      <c r="X100" s="107">
        <f t="shared" si="246"/>
        <v>1.23</v>
      </c>
    </row>
    <row r="101" spans="1:24" x14ac:dyDescent="0.2">
      <c r="A101" s="9" t="s">
        <v>52</v>
      </c>
      <c r="B101" s="9"/>
      <c r="C101" s="9"/>
      <c r="D101" s="9"/>
      <c r="E101" s="116"/>
      <c r="F101" s="116"/>
      <c r="G101" s="116"/>
      <c r="H101" s="116"/>
      <c r="I101" s="116"/>
      <c r="J101" s="116"/>
      <c r="K101" s="116"/>
      <c r="L101" s="116"/>
      <c r="M101" s="116"/>
      <c r="N101" s="116"/>
      <c r="O101" s="116"/>
      <c r="P101" s="116"/>
      <c r="Q101" s="116"/>
      <c r="R101" s="116"/>
      <c r="S101" s="116"/>
      <c r="T101" s="116"/>
      <c r="U101" s="116"/>
      <c r="V101" s="116"/>
      <c r="W101" s="116"/>
      <c r="X101" s="116"/>
    </row>
    <row r="102" spans="1:24" x14ac:dyDescent="0.2">
      <c r="A102" s="118" t="s">
        <v>93</v>
      </c>
      <c r="B102" s="55"/>
      <c r="C102" s="55"/>
      <c r="D102" s="55"/>
      <c r="E102" s="107">
        <f t="shared" ref="E102:V102" si="247">ROUND(E46*1000000/E86,0)</f>
        <v>2799</v>
      </c>
      <c r="F102" s="107">
        <f t="shared" si="247"/>
        <v>2699</v>
      </c>
      <c r="G102" s="107">
        <f t="shared" si="247"/>
        <v>2753</v>
      </c>
      <c r="H102" s="107">
        <f t="shared" si="247"/>
        <v>2804</v>
      </c>
      <c r="I102" s="107">
        <f t="shared" si="247"/>
        <v>2979</v>
      </c>
      <c r="J102" s="107">
        <f t="shared" si="247"/>
        <v>3097</v>
      </c>
      <c r="K102" s="107">
        <f t="shared" si="247"/>
        <v>3106</v>
      </c>
      <c r="L102" s="107">
        <f t="shared" si="247"/>
        <v>3132</v>
      </c>
      <c r="M102" s="107">
        <f t="shared" si="247"/>
        <v>3137</v>
      </c>
      <c r="N102" s="107">
        <f t="shared" si="247"/>
        <v>3156</v>
      </c>
      <c r="O102" s="107">
        <f t="shared" si="247"/>
        <v>3175</v>
      </c>
      <c r="P102" s="107">
        <f t="shared" si="247"/>
        <v>3153</v>
      </c>
      <c r="Q102" s="107">
        <f t="shared" si="247"/>
        <v>3127</v>
      </c>
      <c r="R102" s="107">
        <f t="shared" si="247"/>
        <v>3116</v>
      </c>
      <c r="S102" s="107">
        <f t="shared" si="247"/>
        <v>3089</v>
      </c>
      <c r="T102" s="107">
        <f t="shared" si="247"/>
        <v>3083</v>
      </c>
      <c r="U102" s="107">
        <f t="shared" si="247"/>
        <v>3066</v>
      </c>
      <c r="V102" s="107">
        <f t="shared" si="247"/>
        <v>3069</v>
      </c>
      <c r="W102" s="107">
        <f t="shared" ref="W102:X102" si="248">ROUND(W46*1000000/W86,0)</f>
        <v>3053</v>
      </c>
      <c r="X102" s="107">
        <f t="shared" si="248"/>
        <v>3047</v>
      </c>
    </row>
    <row r="103" spans="1:24" x14ac:dyDescent="0.2">
      <c r="A103" s="118" t="s">
        <v>92</v>
      </c>
      <c r="B103" s="55"/>
      <c r="C103" s="55"/>
      <c r="D103" s="55"/>
      <c r="E103" s="107">
        <f t="shared" ref="E103:V103" si="249">ROUND(E47*1000000/E92/1000,2)</f>
        <v>0.86</v>
      </c>
      <c r="F103" s="107">
        <f t="shared" si="249"/>
        <v>0.83</v>
      </c>
      <c r="G103" s="107">
        <f t="shared" si="249"/>
        <v>0.84</v>
      </c>
      <c r="H103" s="107">
        <f t="shared" si="249"/>
        <v>0.86</v>
      </c>
      <c r="I103" s="107">
        <f t="shared" si="249"/>
        <v>0.91</v>
      </c>
      <c r="J103" s="107">
        <f t="shared" si="249"/>
        <v>0.95</v>
      </c>
      <c r="K103" s="107">
        <f t="shared" si="249"/>
        <v>0.95</v>
      </c>
      <c r="L103" s="107">
        <f t="shared" si="249"/>
        <v>0.96</v>
      </c>
      <c r="M103" s="107">
        <f t="shared" si="249"/>
        <v>0.96</v>
      </c>
      <c r="N103" s="107">
        <f t="shared" si="249"/>
        <v>0.97</v>
      </c>
      <c r="O103" s="107">
        <f t="shared" si="249"/>
        <v>0.97</v>
      </c>
      <c r="P103" s="107">
        <f t="shared" si="249"/>
        <v>0.97</v>
      </c>
      <c r="Q103" s="107">
        <f t="shared" si="249"/>
        <v>0.96</v>
      </c>
      <c r="R103" s="107">
        <f t="shared" si="249"/>
        <v>0.96</v>
      </c>
      <c r="S103" s="107">
        <f t="shared" si="249"/>
        <v>0.95</v>
      </c>
      <c r="T103" s="107">
        <f t="shared" si="249"/>
        <v>0.95</v>
      </c>
      <c r="U103" s="107">
        <f t="shared" si="249"/>
        <v>0.94</v>
      </c>
      <c r="V103" s="107">
        <f t="shared" si="249"/>
        <v>0.94</v>
      </c>
      <c r="W103" s="107">
        <f t="shared" ref="W103:X103" si="250">ROUND(W47*1000000/W92/1000,2)</f>
        <v>0.94</v>
      </c>
      <c r="X103" s="107">
        <f t="shared" si="250"/>
        <v>0.93</v>
      </c>
    </row>
    <row r="104" spans="1:24" x14ac:dyDescent="0.2">
      <c r="A104" s="9" t="s">
        <v>53</v>
      </c>
      <c r="B104" s="9"/>
      <c r="C104" s="9"/>
      <c r="D104" s="9"/>
      <c r="E104" s="116"/>
      <c r="F104" s="116"/>
      <c r="G104" s="116"/>
      <c r="H104" s="116"/>
      <c r="I104" s="116"/>
      <c r="J104" s="116"/>
      <c r="K104" s="116"/>
      <c r="L104" s="116"/>
      <c r="M104" s="116"/>
      <c r="N104" s="116"/>
      <c r="O104" s="116"/>
      <c r="P104" s="116"/>
      <c r="Q104" s="116"/>
      <c r="R104" s="116"/>
      <c r="S104" s="116"/>
      <c r="T104" s="116"/>
      <c r="U104" s="116"/>
      <c r="V104" s="116"/>
      <c r="W104" s="116"/>
      <c r="X104" s="116"/>
    </row>
    <row r="105" spans="1:24" x14ac:dyDescent="0.2">
      <c r="A105" s="118" t="s">
        <v>95</v>
      </c>
      <c r="B105" s="55"/>
      <c r="C105" s="55"/>
      <c r="D105" s="55"/>
      <c r="E105" s="107">
        <f t="shared" ref="E105:V105" si="251">ROUND(E50*1000000/E93,0)</f>
        <v>14291</v>
      </c>
      <c r="F105" s="107">
        <f t="shared" si="251"/>
        <v>13777</v>
      </c>
      <c r="G105" s="107">
        <f t="shared" si="251"/>
        <v>14056</v>
      </c>
      <c r="H105" s="107">
        <f t="shared" si="251"/>
        <v>14313</v>
      </c>
      <c r="I105" s="107">
        <f t="shared" si="251"/>
        <v>15210</v>
      </c>
      <c r="J105" s="107">
        <f t="shared" si="251"/>
        <v>15811</v>
      </c>
      <c r="K105" s="107">
        <f t="shared" si="251"/>
        <v>15858</v>
      </c>
      <c r="L105" s="107">
        <f t="shared" si="251"/>
        <v>15989</v>
      </c>
      <c r="M105" s="107">
        <f t="shared" si="251"/>
        <v>16012</v>
      </c>
      <c r="N105" s="107">
        <f t="shared" si="251"/>
        <v>16112</v>
      </c>
      <c r="O105" s="107">
        <f t="shared" si="251"/>
        <v>16207</v>
      </c>
      <c r="P105" s="107">
        <f t="shared" si="251"/>
        <v>16098</v>
      </c>
      <c r="Q105" s="107">
        <f t="shared" si="251"/>
        <v>15963</v>
      </c>
      <c r="R105" s="107">
        <f t="shared" si="251"/>
        <v>15908</v>
      </c>
      <c r="S105" s="107">
        <f t="shared" si="251"/>
        <v>15772</v>
      </c>
      <c r="T105" s="107">
        <f t="shared" si="251"/>
        <v>15739</v>
      </c>
      <c r="U105" s="107">
        <f t="shared" si="251"/>
        <v>15650</v>
      </c>
      <c r="V105" s="107">
        <f t="shared" si="251"/>
        <v>15666</v>
      </c>
      <c r="W105" s="107">
        <f t="shared" ref="W105:X105" si="252">ROUND(W50*1000000/W93,0)</f>
        <v>15585</v>
      </c>
      <c r="X105" s="107">
        <f t="shared" si="252"/>
        <v>15557</v>
      </c>
    </row>
    <row r="106" spans="1:24" x14ac:dyDescent="0.2">
      <c r="A106" s="118" t="s">
        <v>96</v>
      </c>
      <c r="B106" s="55"/>
      <c r="C106" s="55"/>
      <c r="D106" s="55"/>
      <c r="E106" s="107">
        <f t="shared" ref="E106:V106" si="253">ROUND(E51*1000000/E87,0)</f>
        <v>4703</v>
      </c>
      <c r="F106" s="107">
        <f t="shared" si="253"/>
        <v>4534</v>
      </c>
      <c r="G106" s="107">
        <f t="shared" si="253"/>
        <v>4626</v>
      </c>
      <c r="H106" s="107">
        <f t="shared" si="253"/>
        <v>4710</v>
      </c>
      <c r="I106" s="107">
        <f t="shared" si="253"/>
        <v>5006</v>
      </c>
      <c r="J106" s="107">
        <f t="shared" si="253"/>
        <v>5204</v>
      </c>
      <c r="K106" s="107">
        <f t="shared" si="253"/>
        <v>5219</v>
      </c>
      <c r="L106" s="107">
        <f t="shared" si="253"/>
        <v>5262</v>
      </c>
      <c r="M106" s="107">
        <f t="shared" si="253"/>
        <v>5270</v>
      </c>
      <c r="N106" s="107">
        <f t="shared" si="253"/>
        <v>5303</v>
      </c>
      <c r="O106" s="107">
        <f t="shared" si="253"/>
        <v>5334</v>
      </c>
      <c r="P106" s="107">
        <f t="shared" si="253"/>
        <v>5298</v>
      </c>
      <c r="Q106" s="107">
        <f t="shared" si="253"/>
        <v>5254</v>
      </c>
      <c r="R106" s="107">
        <f t="shared" si="253"/>
        <v>5236</v>
      </c>
      <c r="S106" s="107">
        <f t="shared" si="253"/>
        <v>5191</v>
      </c>
      <c r="T106" s="107">
        <f t="shared" si="253"/>
        <v>5180</v>
      </c>
      <c r="U106" s="107">
        <f t="shared" si="253"/>
        <v>5151</v>
      </c>
      <c r="V106" s="107">
        <f t="shared" si="253"/>
        <v>5156</v>
      </c>
      <c r="W106" s="107">
        <f t="shared" ref="W106:X106" si="254">ROUND(W51*1000000/W87,0)</f>
        <v>5129</v>
      </c>
      <c r="X106" s="107">
        <f t="shared" si="254"/>
        <v>5120</v>
      </c>
    </row>
    <row r="107" spans="1:24" x14ac:dyDescent="0.2">
      <c r="A107" s="119" t="s">
        <v>97</v>
      </c>
      <c r="B107" s="57"/>
      <c r="C107" s="57"/>
      <c r="D107" s="57"/>
      <c r="E107" s="107">
        <f t="shared" ref="E107:V107" si="255">ROUND(E52*1000000/E88,0)</f>
        <v>2789</v>
      </c>
      <c r="F107" s="107">
        <f t="shared" si="255"/>
        <v>2689</v>
      </c>
      <c r="G107" s="107">
        <f t="shared" si="255"/>
        <v>2743</v>
      </c>
      <c r="H107" s="107">
        <f t="shared" si="255"/>
        <v>2794</v>
      </c>
      <c r="I107" s="107">
        <f t="shared" si="255"/>
        <v>2969</v>
      </c>
      <c r="J107" s="107">
        <f t="shared" si="255"/>
        <v>3086</v>
      </c>
      <c r="K107" s="107">
        <f t="shared" si="255"/>
        <v>3095</v>
      </c>
      <c r="L107" s="107">
        <f t="shared" si="255"/>
        <v>3121</v>
      </c>
      <c r="M107" s="107">
        <f t="shared" si="255"/>
        <v>3125</v>
      </c>
      <c r="N107" s="107">
        <f t="shared" si="255"/>
        <v>3145</v>
      </c>
      <c r="O107" s="107">
        <f t="shared" si="255"/>
        <v>3163</v>
      </c>
      <c r="P107" s="107">
        <f t="shared" si="255"/>
        <v>3142</v>
      </c>
      <c r="Q107" s="107">
        <f t="shared" si="255"/>
        <v>3116</v>
      </c>
      <c r="R107" s="107">
        <f t="shared" si="255"/>
        <v>3105</v>
      </c>
      <c r="S107" s="107">
        <f t="shared" si="255"/>
        <v>3078</v>
      </c>
      <c r="T107" s="107">
        <f t="shared" si="255"/>
        <v>3072</v>
      </c>
      <c r="U107" s="107">
        <f t="shared" si="255"/>
        <v>3055</v>
      </c>
      <c r="V107" s="107">
        <f t="shared" si="255"/>
        <v>3058</v>
      </c>
      <c r="W107" s="107">
        <f t="shared" ref="W107:X107" si="256">ROUND(W52*1000000/W88,0)</f>
        <v>3042</v>
      </c>
      <c r="X107" s="107">
        <f t="shared" si="256"/>
        <v>3036</v>
      </c>
    </row>
    <row r="108" spans="1:24" x14ac:dyDescent="0.2">
      <c r="A108" s="119" t="s">
        <v>142</v>
      </c>
      <c r="B108" s="57"/>
      <c r="C108" s="57"/>
      <c r="D108" s="57"/>
      <c r="E108" s="107">
        <f t="shared" ref="E108:V108" si="257">ROUND(E53*1000000/E89,0)</f>
        <v>1867</v>
      </c>
      <c r="F108" s="107">
        <f t="shared" si="257"/>
        <v>1800</v>
      </c>
      <c r="G108" s="107">
        <f t="shared" si="257"/>
        <v>1837</v>
      </c>
      <c r="H108" s="107">
        <f t="shared" si="257"/>
        <v>1870</v>
      </c>
      <c r="I108" s="107">
        <f t="shared" si="257"/>
        <v>1987</v>
      </c>
      <c r="J108" s="107">
        <f t="shared" si="257"/>
        <v>2066</v>
      </c>
      <c r="K108" s="107">
        <f t="shared" si="257"/>
        <v>2072</v>
      </c>
      <c r="L108" s="107">
        <f t="shared" si="257"/>
        <v>2089</v>
      </c>
      <c r="M108" s="107">
        <f t="shared" si="257"/>
        <v>2092</v>
      </c>
      <c r="N108" s="107">
        <f t="shared" si="257"/>
        <v>2105</v>
      </c>
      <c r="O108" s="107">
        <f t="shared" si="257"/>
        <v>2118</v>
      </c>
      <c r="P108" s="107">
        <f t="shared" si="257"/>
        <v>2103</v>
      </c>
      <c r="Q108" s="107">
        <f t="shared" si="257"/>
        <v>2086</v>
      </c>
      <c r="R108" s="107">
        <f t="shared" si="257"/>
        <v>2079</v>
      </c>
      <c r="S108" s="107">
        <f t="shared" si="257"/>
        <v>2061</v>
      </c>
      <c r="T108" s="107">
        <f t="shared" si="257"/>
        <v>2057</v>
      </c>
      <c r="U108" s="107">
        <f t="shared" si="257"/>
        <v>2045</v>
      </c>
      <c r="V108" s="107">
        <f t="shared" si="257"/>
        <v>2047</v>
      </c>
      <c r="W108" s="107">
        <f t="shared" ref="W108:X108" si="258">ROUND(W53*1000000/W89,0)</f>
        <v>2036</v>
      </c>
      <c r="X108" s="107">
        <f t="shared" si="258"/>
        <v>2033</v>
      </c>
    </row>
    <row r="109" spans="1:24" x14ac:dyDescent="0.2">
      <c r="A109" s="119" t="s">
        <v>98</v>
      </c>
      <c r="B109" s="57"/>
      <c r="C109" s="57"/>
      <c r="D109" s="57"/>
      <c r="E109" s="107">
        <f t="shared" ref="E109:V109" si="259">ROUND(E54*1000000/E90,0)</f>
        <v>1150</v>
      </c>
      <c r="F109" s="107">
        <f t="shared" si="259"/>
        <v>1108</v>
      </c>
      <c r="G109" s="107">
        <f t="shared" si="259"/>
        <v>1131</v>
      </c>
      <c r="H109" s="107">
        <f t="shared" si="259"/>
        <v>1151</v>
      </c>
      <c r="I109" s="107">
        <f t="shared" si="259"/>
        <v>1223</v>
      </c>
      <c r="J109" s="107">
        <f t="shared" si="259"/>
        <v>1272</v>
      </c>
      <c r="K109" s="107">
        <f t="shared" si="259"/>
        <v>1276</v>
      </c>
      <c r="L109" s="107">
        <f t="shared" si="259"/>
        <v>1286</v>
      </c>
      <c r="M109" s="107">
        <f t="shared" si="259"/>
        <v>1288</v>
      </c>
      <c r="N109" s="107">
        <f t="shared" si="259"/>
        <v>1296</v>
      </c>
      <c r="O109" s="107">
        <f t="shared" si="259"/>
        <v>1304</v>
      </c>
      <c r="P109" s="107">
        <f t="shared" si="259"/>
        <v>1295</v>
      </c>
      <c r="Q109" s="107">
        <f t="shared" si="259"/>
        <v>1284</v>
      </c>
      <c r="R109" s="107">
        <f t="shared" si="259"/>
        <v>1280</v>
      </c>
      <c r="S109" s="107">
        <f t="shared" si="259"/>
        <v>1269</v>
      </c>
      <c r="T109" s="107">
        <f t="shared" si="259"/>
        <v>1266</v>
      </c>
      <c r="U109" s="107">
        <f t="shared" si="259"/>
        <v>1259</v>
      </c>
      <c r="V109" s="107">
        <f t="shared" si="259"/>
        <v>1260</v>
      </c>
      <c r="W109" s="107">
        <f t="shared" ref="W109:X109" si="260">ROUND(W54*1000000/W90,0)</f>
        <v>1254</v>
      </c>
      <c r="X109" s="107">
        <f t="shared" si="260"/>
        <v>1251</v>
      </c>
    </row>
    <row r="110" spans="1:24" x14ac:dyDescent="0.2">
      <c r="A110" s="55" t="s">
        <v>162</v>
      </c>
      <c r="B110" s="55"/>
      <c r="C110" s="55"/>
      <c r="D110" s="55"/>
      <c r="E110" s="225">
        <f>ROUND(E57*1000000/E92/1000/Assumptions!E42,4)</f>
        <v>7.0499999999999993E-2</v>
      </c>
      <c r="F110" s="225">
        <f>ROUND(F57*1000000/F92/1000/Assumptions!F42,4)</f>
        <v>8.0600000000000005E-2</v>
      </c>
      <c r="G110" s="225">
        <f>ROUND(G57*1000000/G92/1000/Assumptions!G42,4)</f>
        <v>8.1000000000000003E-2</v>
      </c>
      <c r="H110" s="225">
        <f>ROUND(H57*1000000/H92/1000/Assumptions!H42,4)</f>
        <v>8.1600000000000006E-2</v>
      </c>
      <c r="I110" s="225">
        <f>ROUND(I57*1000000/I92/1000/Assumptions!I42,4)</f>
        <v>8.2000000000000003E-2</v>
      </c>
      <c r="J110" s="225">
        <f>ROUND(J57*1000000/J92/1000/Assumptions!J42,4)</f>
        <v>8.2199999999999995E-2</v>
      </c>
      <c r="K110" s="225">
        <f>ROUND(K57*1000000/K92/1000/Assumptions!K42,4)</f>
        <v>8.2500000000000004E-2</v>
      </c>
      <c r="L110" s="225">
        <f>ROUND(L57*1000000/L92/1000/Assumptions!L42,4)</f>
        <v>8.2900000000000001E-2</v>
      </c>
      <c r="M110" s="225">
        <f>ROUND(M57*1000000/M92/1000/Assumptions!M42,4)</f>
        <v>8.3000000000000004E-2</v>
      </c>
      <c r="N110" s="225">
        <f>ROUND(N57*1000000/N92/1000/Assumptions!N42,4)</f>
        <v>8.3199999999999996E-2</v>
      </c>
      <c r="O110" s="225">
        <f>ROUND(O57*1000000/O92/1000/Assumptions!O42,4)</f>
        <v>8.3400000000000002E-2</v>
      </c>
      <c r="P110" s="225">
        <f>ROUND(P57*1000000/P92/1000/Assumptions!P42,4)</f>
        <v>8.3599999999999994E-2</v>
      </c>
      <c r="Q110" s="225">
        <f>ROUND(Q57*1000000/Q92/1000/Assumptions!Q42,4)</f>
        <v>8.3799999999999999E-2</v>
      </c>
      <c r="R110" s="225">
        <f>ROUND(R57*1000000/R92/1000/Assumptions!R42,4)</f>
        <v>8.3900000000000002E-2</v>
      </c>
      <c r="S110" s="225">
        <f>ROUND(S57*1000000/S92/1000/Assumptions!S42,4)</f>
        <v>8.4000000000000005E-2</v>
      </c>
      <c r="T110" s="225">
        <f>ROUND(T57*1000000/T92/1000/Assumptions!T42,4)</f>
        <v>8.4099999999999994E-2</v>
      </c>
      <c r="U110" s="225">
        <f>ROUND(U57*1000000/U92/1000/Assumptions!U42,4)</f>
        <v>8.4199999999999997E-2</v>
      </c>
      <c r="V110" s="225">
        <f>ROUND(V57*1000000/V92/1000/Assumptions!V42,4)</f>
        <v>8.4400000000000003E-2</v>
      </c>
      <c r="W110" s="225">
        <f>ROUND(W57*1000000/W92/1000/Assumptions!W42,4)</f>
        <v>8.4500000000000006E-2</v>
      </c>
      <c r="X110" s="225">
        <f>ROUND(X57*1000000/X92/1000/Assumptions!X42,4)</f>
        <v>8.4599999999999995E-2</v>
      </c>
    </row>
    <row r="111" spans="1:24" x14ac:dyDescent="0.2">
      <c r="A111" s="55" t="s">
        <v>189</v>
      </c>
      <c r="B111" s="223"/>
      <c r="C111" s="223"/>
      <c r="D111" s="223"/>
      <c r="E111" s="269">
        <f t="shared" ref="E111:V111" si="261">ROUND(E60*1000000/E92/1000,3)</f>
        <v>2E-3</v>
      </c>
      <c r="F111" s="269">
        <f t="shared" si="261"/>
        <v>2E-3</v>
      </c>
      <c r="G111" s="269">
        <f t="shared" si="261"/>
        <v>2E-3</v>
      </c>
      <c r="H111" s="269">
        <f t="shared" si="261"/>
        <v>2E-3</v>
      </c>
      <c r="I111" s="269">
        <f t="shared" si="261"/>
        <v>2E-3</v>
      </c>
      <c r="J111" s="269">
        <f t="shared" si="261"/>
        <v>2E-3</v>
      </c>
      <c r="K111" s="269">
        <f t="shared" si="261"/>
        <v>2E-3</v>
      </c>
      <c r="L111" s="269">
        <f t="shared" si="261"/>
        <v>2E-3</v>
      </c>
      <c r="M111" s="269">
        <f t="shared" si="261"/>
        <v>2E-3</v>
      </c>
      <c r="N111" s="269">
        <f t="shared" si="261"/>
        <v>2E-3</v>
      </c>
      <c r="O111" s="269">
        <f t="shared" si="261"/>
        <v>2E-3</v>
      </c>
      <c r="P111" s="269">
        <f t="shared" si="261"/>
        <v>2E-3</v>
      </c>
      <c r="Q111" s="269">
        <f t="shared" si="261"/>
        <v>2E-3</v>
      </c>
      <c r="R111" s="269">
        <f t="shared" si="261"/>
        <v>2E-3</v>
      </c>
      <c r="S111" s="269">
        <f t="shared" si="261"/>
        <v>2E-3</v>
      </c>
      <c r="T111" s="269">
        <f t="shared" si="261"/>
        <v>2E-3</v>
      </c>
      <c r="U111" s="269">
        <f t="shared" si="261"/>
        <v>2E-3</v>
      </c>
      <c r="V111" s="269">
        <f t="shared" si="261"/>
        <v>2E-3</v>
      </c>
      <c r="W111" s="269">
        <f t="shared" ref="W111:X111" si="262">ROUND(W60*1000000/W92/1000,3)</f>
        <v>2E-3</v>
      </c>
      <c r="X111" s="269">
        <f t="shared" si="262"/>
        <v>2E-3</v>
      </c>
    </row>
    <row r="112" spans="1:24" x14ac:dyDescent="0.2">
      <c r="A112" s="55" t="s">
        <v>99</v>
      </c>
      <c r="B112" s="55"/>
      <c r="C112" s="55"/>
      <c r="D112" s="55"/>
      <c r="E112" s="107">
        <f t="shared" ref="E112:V112" si="263">ROUND(E63*1000000/E92/1000,2)</f>
        <v>0.05</v>
      </c>
      <c r="F112" s="107">
        <f t="shared" si="263"/>
        <v>0.04</v>
      </c>
      <c r="G112" s="107">
        <f t="shared" si="263"/>
        <v>0.05</v>
      </c>
      <c r="H112" s="107">
        <f t="shared" si="263"/>
        <v>0.05</v>
      </c>
      <c r="I112" s="107">
        <f t="shared" si="263"/>
        <v>0.05</v>
      </c>
      <c r="J112" s="107">
        <f t="shared" si="263"/>
        <v>0.05</v>
      </c>
      <c r="K112" s="107">
        <f t="shared" si="263"/>
        <v>0.05</v>
      </c>
      <c r="L112" s="107">
        <f t="shared" si="263"/>
        <v>0.05</v>
      </c>
      <c r="M112" s="107">
        <f t="shared" si="263"/>
        <v>0.05</v>
      </c>
      <c r="N112" s="107">
        <f t="shared" si="263"/>
        <v>0.05</v>
      </c>
      <c r="O112" s="107">
        <f t="shared" si="263"/>
        <v>0.05</v>
      </c>
      <c r="P112" s="107">
        <f t="shared" si="263"/>
        <v>0.05</v>
      </c>
      <c r="Q112" s="107">
        <f t="shared" si="263"/>
        <v>0.05</v>
      </c>
      <c r="R112" s="107">
        <f t="shared" si="263"/>
        <v>0.05</v>
      </c>
      <c r="S112" s="107">
        <f t="shared" si="263"/>
        <v>0.05</v>
      </c>
      <c r="T112" s="107">
        <f t="shared" si="263"/>
        <v>0.05</v>
      </c>
      <c r="U112" s="107">
        <f t="shared" si="263"/>
        <v>0.06</v>
      </c>
      <c r="V112" s="107">
        <f t="shared" si="263"/>
        <v>0.06</v>
      </c>
      <c r="W112" s="107">
        <f t="shared" ref="W112:X112" si="264">ROUND(W63*1000000/W92/1000,2)</f>
        <v>0.06</v>
      </c>
      <c r="X112" s="107">
        <f t="shared" si="264"/>
        <v>0.06</v>
      </c>
    </row>
    <row r="113" spans="1:24" x14ac:dyDescent="0.2">
      <c r="A113" s="55" t="s">
        <v>100</v>
      </c>
      <c r="B113" s="55"/>
      <c r="C113" s="55"/>
      <c r="D113" s="55"/>
      <c r="E113" s="107">
        <f t="shared" ref="E113:V113" si="265">ROUND(E66*1000000/E91,0)</f>
        <v>24</v>
      </c>
      <c r="F113" s="107">
        <f t="shared" si="265"/>
        <v>23</v>
      </c>
      <c r="G113" s="107">
        <f t="shared" si="265"/>
        <v>23</v>
      </c>
      <c r="H113" s="107">
        <f t="shared" si="265"/>
        <v>24</v>
      </c>
      <c r="I113" s="107">
        <f t="shared" si="265"/>
        <v>24</v>
      </c>
      <c r="J113" s="107">
        <f t="shared" si="265"/>
        <v>25</v>
      </c>
      <c r="K113" s="107">
        <f t="shared" si="265"/>
        <v>25</v>
      </c>
      <c r="L113" s="107">
        <f t="shared" si="265"/>
        <v>26</v>
      </c>
      <c r="M113" s="107">
        <f t="shared" si="265"/>
        <v>26</v>
      </c>
      <c r="N113" s="107">
        <f t="shared" si="265"/>
        <v>26</v>
      </c>
      <c r="O113" s="107">
        <f t="shared" si="265"/>
        <v>27</v>
      </c>
      <c r="P113" s="107">
        <f t="shared" si="265"/>
        <v>27</v>
      </c>
      <c r="Q113" s="107">
        <f t="shared" si="265"/>
        <v>27</v>
      </c>
      <c r="R113" s="107">
        <f t="shared" si="265"/>
        <v>27</v>
      </c>
      <c r="S113" s="107">
        <f t="shared" si="265"/>
        <v>28</v>
      </c>
      <c r="T113" s="107">
        <f t="shared" si="265"/>
        <v>28</v>
      </c>
      <c r="U113" s="107">
        <f t="shared" si="265"/>
        <v>28</v>
      </c>
      <c r="V113" s="107">
        <f t="shared" si="265"/>
        <v>29</v>
      </c>
      <c r="W113" s="107">
        <f t="shared" ref="W113:X113" si="266">ROUND(W66*1000000/W91,0)</f>
        <v>29</v>
      </c>
      <c r="X113" s="107">
        <f t="shared" si="266"/>
        <v>30</v>
      </c>
    </row>
    <row r="115" spans="1:24" s="52" customFormat="1" x14ac:dyDescent="0.2">
      <c r="A115" s="96" t="s">
        <v>131</v>
      </c>
      <c r="B115" s="97"/>
      <c r="C115" s="97"/>
      <c r="D115" s="97"/>
      <c r="E115" s="98">
        <f>E9</f>
        <v>2020</v>
      </c>
      <c r="F115" s="98">
        <f t="shared" ref="F115" si="267">E115+1</f>
        <v>2021</v>
      </c>
      <c r="G115" s="98">
        <f t="shared" ref="G115" si="268">F115+1</f>
        <v>2022</v>
      </c>
      <c r="H115" s="98">
        <f t="shared" ref="H115" si="269">G115+1</f>
        <v>2023</v>
      </c>
      <c r="I115" s="98">
        <f t="shared" ref="I115" si="270">H115+1</f>
        <v>2024</v>
      </c>
      <c r="J115" s="98">
        <f t="shared" ref="J115" si="271">I115+1</f>
        <v>2025</v>
      </c>
      <c r="K115" s="98">
        <f t="shared" ref="K115" si="272">J115+1</f>
        <v>2026</v>
      </c>
      <c r="L115" s="98">
        <f t="shared" ref="L115" si="273">K115+1</f>
        <v>2027</v>
      </c>
      <c r="M115" s="98">
        <f t="shared" ref="M115" si="274">L115+1</f>
        <v>2028</v>
      </c>
      <c r="N115" s="98">
        <f t="shared" ref="N115" si="275">M115+1</f>
        <v>2029</v>
      </c>
      <c r="O115" s="98">
        <f t="shared" ref="O115" si="276">N115+1</f>
        <v>2030</v>
      </c>
      <c r="P115" s="98">
        <f t="shared" ref="P115" si="277">O115+1</f>
        <v>2031</v>
      </c>
      <c r="Q115" s="98">
        <f t="shared" ref="Q115" si="278">P115+1</f>
        <v>2032</v>
      </c>
      <c r="R115" s="98">
        <f t="shared" ref="R115" si="279">Q115+1</f>
        <v>2033</v>
      </c>
      <c r="S115" s="98">
        <f t="shared" ref="S115" si="280">R115+1</f>
        <v>2034</v>
      </c>
      <c r="T115" s="98">
        <f t="shared" ref="T115" si="281">S115+1</f>
        <v>2035</v>
      </c>
      <c r="U115" s="98">
        <f t="shared" ref="U115" si="282">T115+1</f>
        <v>2036</v>
      </c>
      <c r="V115" s="98">
        <f t="shared" ref="V115" si="283">U115+1</f>
        <v>2037</v>
      </c>
      <c r="W115" s="98">
        <f t="shared" ref="W115" si="284">V115+1</f>
        <v>2038</v>
      </c>
      <c r="X115" s="98">
        <f t="shared" ref="X115" si="285">W115+1</f>
        <v>2039</v>
      </c>
    </row>
    <row r="116" spans="1:24" x14ac:dyDescent="0.2">
      <c r="A116" s="9" t="s">
        <v>136</v>
      </c>
      <c r="B116" s="9"/>
      <c r="C116" s="9"/>
      <c r="D116" s="9"/>
      <c r="E116" s="141">
        <f t="shared" ref="E116:V116" si="286">E68*1000/E92</f>
        <v>37.603357493656134</v>
      </c>
      <c r="F116" s="141">
        <f t="shared" si="286"/>
        <v>36.878609056234801</v>
      </c>
      <c r="G116" s="141">
        <f t="shared" si="286"/>
        <v>37.71006988820583</v>
      </c>
      <c r="H116" s="141">
        <f t="shared" si="286"/>
        <v>38.745065992389861</v>
      </c>
      <c r="I116" s="141">
        <f t="shared" si="286"/>
        <v>41.136930800006006</v>
      </c>
      <c r="J116" s="141">
        <f t="shared" si="286"/>
        <v>42.639436838626288</v>
      </c>
      <c r="K116" s="141">
        <f t="shared" si="286"/>
        <v>43.103371878979559</v>
      </c>
      <c r="L116" s="141">
        <f t="shared" si="286"/>
        <v>43.737552231530465</v>
      </c>
      <c r="M116" s="141">
        <f t="shared" si="286"/>
        <v>43.93407964690563</v>
      </c>
      <c r="N116" s="141">
        <f t="shared" si="286"/>
        <v>44.401140155832529</v>
      </c>
      <c r="O116" s="141">
        <f t="shared" si="286"/>
        <v>44.838337383735649</v>
      </c>
      <c r="P116" s="141">
        <f t="shared" si="286"/>
        <v>44.906228279991396</v>
      </c>
      <c r="Q116" s="141">
        <f t="shared" si="286"/>
        <v>44.75196325989063</v>
      </c>
      <c r="R116" s="141">
        <f t="shared" si="286"/>
        <v>44.817930630480973</v>
      </c>
      <c r="S116" s="141">
        <f t="shared" si="286"/>
        <v>44.666148607902734</v>
      </c>
      <c r="T116" s="141">
        <f t="shared" si="286"/>
        <v>44.760507603234856</v>
      </c>
      <c r="U116" s="141">
        <f t="shared" si="286"/>
        <v>44.722515275250039</v>
      </c>
      <c r="V116" s="141">
        <f t="shared" si="286"/>
        <v>44.938977371123926</v>
      </c>
      <c r="W116" s="141">
        <f t="shared" ref="W116:X116" si="287">W68*1000/W92</f>
        <v>44.927840482155972</v>
      </c>
      <c r="X116" s="141">
        <f t="shared" si="287"/>
        <v>45.047396071116282</v>
      </c>
    </row>
    <row r="117" spans="1:24" x14ac:dyDescent="0.2">
      <c r="A117" s="53"/>
      <c r="B117" s="53"/>
      <c r="C117" s="53"/>
      <c r="D117" s="242"/>
      <c r="E117" s="56"/>
      <c r="F117" s="56"/>
      <c r="G117" s="56"/>
      <c r="H117" s="56"/>
      <c r="I117" s="56"/>
      <c r="J117" s="56"/>
      <c r="K117" s="56"/>
      <c r="L117" s="56"/>
      <c r="M117" s="56"/>
      <c r="N117" s="56"/>
      <c r="O117" s="56"/>
      <c r="P117" s="56"/>
      <c r="Q117" s="56"/>
      <c r="R117" s="56"/>
      <c r="S117" s="56"/>
      <c r="T117" s="56"/>
      <c r="U117" s="56"/>
      <c r="V117" s="56"/>
      <c r="W117" s="56"/>
      <c r="X117" s="56"/>
    </row>
    <row r="118" spans="1:24" s="27" customFormat="1" x14ac:dyDescent="0.2">
      <c r="A118" s="64" t="s">
        <v>326</v>
      </c>
      <c r="B118" s="64"/>
      <c r="C118" s="64"/>
      <c r="D118" s="64"/>
      <c r="E118" s="87"/>
      <c r="F118" s="87"/>
      <c r="G118" s="87"/>
      <c r="H118" s="87"/>
      <c r="I118" s="87"/>
      <c r="J118" s="87"/>
      <c r="K118" s="87"/>
      <c r="L118" s="87"/>
      <c r="M118" s="87"/>
      <c r="N118" s="87"/>
      <c r="O118" s="87"/>
      <c r="P118" s="87"/>
      <c r="Q118" s="87"/>
      <c r="R118" s="87"/>
      <c r="S118" s="87"/>
      <c r="T118" s="87"/>
      <c r="U118" s="87"/>
      <c r="V118" s="87"/>
      <c r="W118" s="87"/>
      <c r="X118" s="87"/>
    </row>
    <row r="119" spans="1:24" s="27" customFormat="1" x14ac:dyDescent="0.2">
      <c r="A119" s="62"/>
      <c r="B119" s="62"/>
      <c r="C119" s="62"/>
      <c r="D119" s="62"/>
      <c r="E119" s="286">
        <f>E115</f>
        <v>2020</v>
      </c>
      <c r="F119" s="286">
        <f t="shared" ref="F119:X119" si="288">F115</f>
        <v>2021</v>
      </c>
      <c r="G119" s="286">
        <f t="shared" si="288"/>
        <v>2022</v>
      </c>
      <c r="H119" s="286">
        <f t="shared" si="288"/>
        <v>2023</v>
      </c>
      <c r="I119" s="286">
        <f t="shared" si="288"/>
        <v>2024</v>
      </c>
      <c r="J119" s="286">
        <f t="shared" si="288"/>
        <v>2025</v>
      </c>
      <c r="K119" s="286">
        <f t="shared" si="288"/>
        <v>2026</v>
      </c>
      <c r="L119" s="286">
        <f t="shared" si="288"/>
        <v>2027</v>
      </c>
      <c r="M119" s="286">
        <f t="shared" si="288"/>
        <v>2028</v>
      </c>
      <c r="N119" s="286">
        <f t="shared" si="288"/>
        <v>2029</v>
      </c>
      <c r="O119" s="286">
        <f t="shared" si="288"/>
        <v>2030</v>
      </c>
      <c r="P119" s="286">
        <f t="shared" si="288"/>
        <v>2031</v>
      </c>
      <c r="Q119" s="286">
        <f t="shared" si="288"/>
        <v>2032</v>
      </c>
      <c r="R119" s="286">
        <f t="shared" si="288"/>
        <v>2033</v>
      </c>
      <c r="S119" s="286">
        <f t="shared" si="288"/>
        <v>2034</v>
      </c>
      <c r="T119" s="286">
        <f t="shared" si="288"/>
        <v>2035</v>
      </c>
      <c r="U119" s="286">
        <f t="shared" si="288"/>
        <v>2036</v>
      </c>
      <c r="V119" s="286">
        <f t="shared" si="288"/>
        <v>2037</v>
      </c>
      <c r="W119" s="286">
        <f t="shared" si="288"/>
        <v>2038</v>
      </c>
      <c r="X119" s="286">
        <f t="shared" si="288"/>
        <v>2039</v>
      </c>
    </row>
    <row r="120" spans="1:24" s="27" customFormat="1" x14ac:dyDescent="0.2">
      <c r="A120" s="278" t="s">
        <v>226</v>
      </c>
      <c r="B120" s="279"/>
      <c r="C120" s="279"/>
      <c r="D120" s="279"/>
      <c r="E120" s="280">
        <f>Assumptions!E$109*(Rates!E$30+Rates!E$31)*1000000/E83</f>
        <v>7718.2008783962247</v>
      </c>
      <c r="F120" s="280">
        <f>Assumptions!F$109*(Rates!F$30+Rates!F$31)*1000000/F83</f>
        <v>7440.1751598556875</v>
      </c>
      <c r="G120" s="280">
        <f>Assumptions!G$109*(Rates!G$30+Rates!G$31)*1000000/G83</f>
        <v>7590.8343076457477</v>
      </c>
      <c r="H120" s="280">
        <f>Assumptions!H$109*(Rates!H$30+Rates!H$31)*1000000/H83</f>
        <v>7729.6625068615795</v>
      </c>
      <c r="I120" s="280">
        <f>Assumptions!I$109*(Rates!I$30+Rates!I$31)*1000000/I83</f>
        <v>8214.1411741638931</v>
      </c>
      <c r="J120" s="280">
        <f>Assumptions!J$109*(Rates!J$30+Rates!J$31)*1000000/J83</f>
        <v>8538.9438604826228</v>
      </c>
      <c r="K120" s="280">
        <f>Assumptions!K$109*(Rates!K$30+Rates!K$31)*1000000/K83</f>
        <v>8564.1005396326273</v>
      </c>
      <c r="L120" s="280">
        <f>Assumptions!L$109*(Rates!L$30+Rates!L$31)*1000000/L83</f>
        <v>8634.890843824036</v>
      </c>
      <c r="M120" s="280">
        <f>Assumptions!M$109*(Rates!M$30+Rates!M$31)*1000000/M83</f>
        <v>8647.4198754617355</v>
      </c>
      <c r="N120" s="280">
        <f>Assumptions!N$109*(Rates!N$30+Rates!N$31)*1000000/N83</f>
        <v>8701.5024173574002</v>
      </c>
      <c r="O120" s="280">
        <f>Assumptions!O$109*(Rates!O$30+Rates!O$31)*1000000/O83</f>
        <v>8752.7370939681659</v>
      </c>
      <c r="P120" s="280">
        <f>Assumptions!P$109*(Rates!P$30+Rates!P$31)*1000000/P83</f>
        <v>8693.6673093580157</v>
      </c>
      <c r="Q120" s="280">
        <f>Assumptions!Q$109*(Rates!Q$30+Rates!Q$31)*1000000/Q83</f>
        <v>8621.1845199023792</v>
      </c>
      <c r="R120" s="280">
        <f>Assumptions!R$109*(Rates!R$30+Rates!R$31)*1000000/R83</f>
        <v>8591.4130525970704</v>
      </c>
      <c r="S120" s="280">
        <f>Assumptions!S$109*(Rates!S$30+Rates!S$31)*1000000/S83</f>
        <v>8517.6233173512082</v>
      </c>
      <c r="T120" s="280">
        <f>Assumptions!T$109*(Rates!T$30+Rates!T$31)*1000000/T83</f>
        <v>8500.2230374405772</v>
      </c>
      <c r="U120" s="280">
        <f>Assumptions!U$109*(Rates!U$30+Rates!U$31)*1000000/U83</f>
        <v>8451.8458726504577</v>
      </c>
      <c r="V120" s="280">
        <f>Assumptions!V$109*(Rates!V$30+Rates!V$31)*1000000/V83</f>
        <v>8460.5890897230838</v>
      </c>
      <c r="W120" s="280">
        <f>Assumptions!W$109*(Rates!W$30+Rates!W$31)*1000000/W83</f>
        <v>8416.6929053130752</v>
      </c>
      <c r="X120" s="280">
        <f>Assumptions!X$109*(Rates!X$30+Rates!X$31)*1000000/X83</f>
        <v>8401.6893208537167</v>
      </c>
    </row>
    <row r="121" spans="1:24" s="27" customFormat="1" x14ac:dyDescent="0.2">
      <c r="A121" s="278" t="s">
        <v>227</v>
      </c>
      <c r="B121" s="279"/>
      <c r="C121" s="279"/>
      <c r="D121" s="279"/>
      <c r="E121" s="280">
        <f>Assumptions!E$110*(Rates!E$30+Rates!E$31)*1000000/E84</f>
        <v>7399.5800492252019</v>
      </c>
      <c r="F121" s="280">
        <f>Assumptions!F$110*(Rates!F$30+Rates!F$31)*1000000/F84</f>
        <v>7133.0317185329395</v>
      </c>
      <c r="G121" s="280">
        <f>Assumptions!G$110*(Rates!G$30+Rates!G$31)*1000000/G84</f>
        <v>7277.4713932427594</v>
      </c>
      <c r="H121" s="280">
        <f>Assumptions!H$110*(Rates!H$30+Rates!H$31)*1000000/H84</f>
        <v>7410.5685216244183</v>
      </c>
      <c r="I121" s="280">
        <f>Assumptions!I$110*(Rates!I$30+Rates!I$31)*1000000/I84</f>
        <v>7875.047062326812</v>
      </c>
      <c r="J121" s="280">
        <f>Assumptions!J$110*(Rates!J$30+Rates!J$31)*1000000/J84</f>
        <v>8186.4413257679353</v>
      </c>
      <c r="K121" s="280">
        <f>Assumptions!K$110*(Rates!K$30+Rates!K$31)*1000000/K84</f>
        <v>8210.5594932108415</v>
      </c>
      <c r="L121" s="280">
        <f>Assumptions!L$110*(Rates!L$30+Rates!L$31)*1000000/L84</f>
        <v>8278.4274498533705</v>
      </c>
      <c r="M121" s="280">
        <f>Assumptions!M$110*(Rates!M$30+Rates!M$31)*1000000/M84</f>
        <v>8290.4392611553976</v>
      </c>
      <c r="N121" s="280">
        <f>Assumptions!N$110*(Rates!N$30+Rates!N$31)*1000000/N84</f>
        <v>8342.2891811468162</v>
      </c>
      <c r="O121" s="280">
        <f>Assumptions!O$110*(Rates!O$30+Rates!O$31)*1000000/O84</f>
        <v>8391.4088007123937</v>
      </c>
      <c r="P121" s="280">
        <f>Assumptions!P$110*(Rates!P$30+Rates!P$31)*1000000/P84</f>
        <v>8334.7775201069944</v>
      </c>
      <c r="Q121" s="280">
        <f>Assumptions!Q$110*(Rates!Q$30+Rates!Q$31)*1000000/Q84</f>
        <v>8265.2869469516136</v>
      </c>
      <c r="R121" s="280">
        <f>Assumptions!R$110*(Rates!R$30+Rates!R$31)*1000000/R84</f>
        <v>8236.7444978783915</v>
      </c>
      <c r="S121" s="280">
        <f>Assumptions!S$110*(Rates!S$30+Rates!S$31)*1000000/S84</f>
        <v>8166.0009319404771</v>
      </c>
      <c r="T121" s="280">
        <f>Assumptions!T$110*(Rates!T$30+Rates!T$31)*1000000/T84</f>
        <v>8149.3189660126345</v>
      </c>
      <c r="U121" s="280">
        <f>Assumptions!U$110*(Rates!U$30+Rates!U$31)*1000000/U84</f>
        <v>8102.9388951827832</v>
      </c>
      <c r="V121" s="280">
        <f>Assumptions!V$110*(Rates!V$30+Rates!V$31)*1000000/V84</f>
        <v>8111.3211769652817</v>
      </c>
      <c r="W121" s="280">
        <f>Assumptions!W$110*(Rates!W$30+Rates!W$31)*1000000/W84</f>
        <v>8069.2371038095043</v>
      </c>
      <c r="X121" s="280">
        <f>Assumptions!X$110*(Rates!X$30+Rates!X$31)*1000000/X84</f>
        <v>8054.8528935535778</v>
      </c>
    </row>
    <row r="122" spans="1:24" s="27" customFormat="1" x14ac:dyDescent="0.2">
      <c r="A122" s="62"/>
      <c r="B122" s="62"/>
      <c r="C122" s="62"/>
      <c r="D122" s="62"/>
      <c r="E122" s="244"/>
      <c r="F122" s="244"/>
      <c r="G122" s="244"/>
      <c r="H122" s="244"/>
      <c r="I122" s="244"/>
      <c r="J122" s="244"/>
      <c r="K122" s="244"/>
      <c r="L122" s="244"/>
      <c r="M122" s="244"/>
      <c r="N122" s="244"/>
      <c r="O122" s="244"/>
      <c r="P122" s="244"/>
      <c r="Q122" s="244"/>
      <c r="R122" s="244"/>
      <c r="S122" s="244"/>
      <c r="T122" s="244"/>
      <c r="U122" s="244"/>
      <c r="V122" s="244"/>
      <c r="W122" s="244"/>
      <c r="X122" s="244"/>
    </row>
    <row r="123" spans="1:24" s="27" customFormat="1" x14ac:dyDescent="0.2">
      <c r="A123" s="64" t="s">
        <v>327</v>
      </c>
      <c r="B123" s="64"/>
      <c r="C123" s="64"/>
      <c r="D123" s="64"/>
      <c r="E123" s="87"/>
      <c r="F123" s="87"/>
      <c r="G123" s="87"/>
      <c r="H123" s="87"/>
      <c r="I123" s="87"/>
      <c r="J123" s="87"/>
      <c r="K123" s="87"/>
      <c r="L123" s="87"/>
      <c r="M123" s="87"/>
      <c r="N123" s="87"/>
      <c r="O123" s="87"/>
      <c r="P123" s="87"/>
      <c r="Q123" s="87"/>
      <c r="R123" s="87"/>
      <c r="S123" s="87"/>
      <c r="T123" s="87"/>
      <c r="U123" s="87"/>
      <c r="V123" s="87"/>
      <c r="W123" s="87"/>
      <c r="X123" s="87"/>
    </row>
    <row r="124" spans="1:24" s="27" customFormat="1" x14ac:dyDescent="0.2">
      <c r="A124" s="62"/>
      <c r="B124" s="62"/>
      <c r="C124" s="62"/>
      <c r="D124" s="62"/>
      <c r="E124" s="286">
        <f>E115</f>
        <v>2020</v>
      </c>
      <c r="F124" s="286">
        <f t="shared" ref="F124:X124" si="289">F115</f>
        <v>2021</v>
      </c>
      <c r="G124" s="286">
        <f t="shared" si="289"/>
        <v>2022</v>
      </c>
      <c r="H124" s="286">
        <f t="shared" si="289"/>
        <v>2023</v>
      </c>
      <c r="I124" s="286">
        <f t="shared" si="289"/>
        <v>2024</v>
      </c>
      <c r="J124" s="286">
        <f t="shared" si="289"/>
        <v>2025</v>
      </c>
      <c r="K124" s="286">
        <f t="shared" si="289"/>
        <v>2026</v>
      </c>
      <c r="L124" s="286">
        <f t="shared" si="289"/>
        <v>2027</v>
      </c>
      <c r="M124" s="286">
        <f t="shared" si="289"/>
        <v>2028</v>
      </c>
      <c r="N124" s="286">
        <f t="shared" si="289"/>
        <v>2029</v>
      </c>
      <c r="O124" s="286">
        <f t="shared" si="289"/>
        <v>2030</v>
      </c>
      <c r="P124" s="286">
        <f t="shared" si="289"/>
        <v>2031</v>
      </c>
      <c r="Q124" s="286">
        <f t="shared" si="289"/>
        <v>2032</v>
      </c>
      <c r="R124" s="286">
        <f t="shared" si="289"/>
        <v>2033</v>
      </c>
      <c r="S124" s="286">
        <f t="shared" si="289"/>
        <v>2034</v>
      </c>
      <c r="T124" s="286">
        <f t="shared" si="289"/>
        <v>2035</v>
      </c>
      <c r="U124" s="286">
        <f t="shared" si="289"/>
        <v>2036</v>
      </c>
      <c r="V124" s="286">
        <f t="shared" si="289"/>
        <v>2037</v>
      </c>
      <c r="W124" s="286">
        <f t="shared" si="289"/>
        <v>2038</v>
      </c>
      <c r="X124" s="286">
        <f t="shared" si="289"/>
        <v>2039</v>
      </c>
    </row>
    <row r="125" spans="1:24" s="27" customFormat="1" x14ac:dyDescent="0.2">
      <c r="A125" s="281" t="s">
        <v>229</v>
      </c>
      <c r="B125" s="279"/>
      <c r="C125" s="279"/>
      <c r="D125" s="279"/>
      <c r="E125" s="333">
        <f>Assumptions!E$115*(Rates!E$30+Rates!E$31)*1000/Assumptions!E$35</f>
        <v>12.329355205631954</v>
      </c>
      <c r="F125" s="333">
        <f>Assumptions!F$115*(Rates!F$30+Rates!F$31)*1000/Assumptions!F$35</f>
        <v>12.274682606602543</v>
      </c>
      <c r="G125" s="333">
        <f>Assumptions!G$115*(Rates!G$30+Rates!G$31)*1000/Assumptions!G$35</f>
        <v>12.523237671660995</v>
      </c>
      <c r="H125" s="333">
        <f>Assumptions!H$115*(Rates!H$30+Rates!H$31)*1000/Assumptions!H$35</f>
        <v>12.752274225990394</v>
      </c>
      <c r="I125" s="333">
        <f>Assumptions!I$115*(Rates!I$30+Rates!I$31)*1000/Assumptions!I$35</f>
        <v>13.551559423319141</v>
      </c>
      <c r="J125" s="333">
        <f>Assumptions!J$115*(Rates!J$30+Rates!J$31)*1000/Assumptions!J$35</f>
        <v>14.087413727643289</v>
      </c>
      <c r="K125" s="333">
        <f>Assumptions!K$115*(Rates!K$30+Rates!K$31)*1000/Assumptions!K$35</f>
        <v>14.128916816665786</v>
      </c>
      <c r="L125" s="333">
        <f>Assumptions!L$115*(Rates!L$30+Rates!L$31)*1000/Assumptions!L$35</f>
        <v>14.245705534257111</v>
      </c>
      <c r="M125" s="333">
        <f>Assumptions!M$115*(Rates!M$30+Rates!M$31)*1000/Assumptions!M$35</f>
        <v>14.266375731317879</v>
      </c>
      <c r="N125" s="333">
        <f>Assumptions!N$115*(Rates!N$30+Rates!N$31)*1000/Assumptions!N$35</f>
        <v>14.355600248491802</v>
      </c>
      <c r="O125" s="333">
        <f>Assumptions!O$115*(Rates!O$30+Rates!O$31)*1000/Assumptions!O$35</f>
        <v>14.440126402827834</v>
      </c>
      <c r="P125" s="333">
        <f>Assumptions!P$115*(Rates!P$30+Rates!P$31)*1000/Assumptions!P$35</f>
        <v>14.342674011969873</v>
      </c>
      <c r="Q125" s="333">
        <f>Assumptions!Q$115*(Rates!Q$30+Rates!Q$31)*1000/Assumptions!Q$35</f>
        <v>14.223093059116822</v>
      </c>
      <c r="R125" s="333">
        <f>Assumptions!R$115*(Rates!R$30+Rates!R$31)*1000/Assumptions!R$35</f>
        <v>14.173976566016332</v>
      </c>
      <c r="S125" s="333">
        <f>Assumptions!S$115*(Rates!S$30+Rates!S$31)*1000/Assumptions!S$35</f>
        <v>14.052239434791888</v>
      </c>
      <c r="T125" s="333">
        <f>Assumptions!T$115*(Rates!T$30+Rates!T$31)*1000/Assumptions!T$35</f>
        <v>14.023532729831302</v>
      </c>
      <c r="U125" s="333">
        <f>Assumptions!U$115*(Rates!U$30+Rates!U$31)*1000/Assumptions!U$35</f>
        <v>13.943720853034367</v>
      </c>
      <c r="V125" s="333">
        <f>Assumptions!V$115*(Rates!V$30+Rates!V$31)*1000/Assumptions!V$35</f>
        <v>13.958145273457447</v>
      </c>
      <c r="W125" s="333">
        <f>Assumptions!W$115*(Rates!W$30+Rates!W$31)*1000/Assumptions!W$35</f>
        <v>13.885726046799858</v>
      </c>
      <c r="X125" s="333">
        <f>Assumptions!X$115*(Rates!X$30+Rates!X$31)*1000/Assumptions!X$35</f>
        <v>13.860973371863702</v>
      </c>
    </row>
    <row r="126" spans="1:24" s="27" customFormat="1" x14ac:dyDescent="0.2">
      <c r="A126" s="278" t="s">
        <v>228</v>
      </c>
      <c r="B126" s="279"/>
      <c r="C126" s="279"/>
      <c r="D126" s="279"/>
      <c r="E126" s="282">
        <f>Assumptions!E$116*(Rates!E$30+Rates!E$31)*1000000/Rates!E$86</f>
        <v>4850.0693138948</v>
      </c>
      <c r="F126" s="282">
        <f>Assumptions!F$116*(Rates!F$30+Rates!F$31)*1000000/Rates!F$86</f>
        <v>4675.3596856780214</v>
      </c>
      <c r="G126" s="282">
        <f>Assumptions!G$116*(Rates!G$30+Rates!G$31)*1000000/Rates!G$86</f>
        <v>4770.0329548850214</v>
      </c>
      <c r="H126" s="282">
        <f>Assumptions!H$116*(Rates!H$30+Rates!H$31)*1000000/Rates!H$86</f>
        <v>4857.2717297664412</v>
      </c>
      <c r="I126" s="282">
        <f>Assumptions!I$116*(Rates!I$30+Rates!I$31)*1000000/Rates!I$86</f>
        <v>5161.7151038818683</v>
      </c>
      <c r="J126" s="282">
        <f>Assumptions!J$116*(Rates!J$30+Rates!J$31)*1000000/Rates!J$86</f>
        <v>5365.8190870257231</v>
      </c>
      <c r="K126" s="282">
        <f>Assumptions!K$116*(Rates!K$30+Rates!K$31)*1000000/Rates!K$86</f>
        <v>5381.6273873676409</v>
      </c>
      <c r="L126" s="282">
        <f>Assumptions!L$116*(Rates!L$30+Rates!L$31)*1000000/Rates!L$86</f>
        <v>5426.111573188854</v>
      </c>
      <c r="M126" s="282">
        <f>Assumptions!M$116*(Rates!M$30+Rates!M$31)*1000000/Rates!M$86</f>
        <v>5433.9847385594148</v>
      </c>
      <c r="N126" s="282">
        <f>Assumptions!N$116*(Rates!N$30+Rates!N$31)*1000000/Rates!N$86</f>
        <v>5467.9698707162879</v>
      </c>
      <c r="O126" s="282">
        <f>Assumptions!O$116*(Rates!O$30+Rates!O$31)*1000000/Rates!O$86</f>
        <v>5500.1654220827659</v>
      </c>
      <c r="P126" s="282">
        <f>Assumptions!P$116*(Rates!P$30+Rates!P$31)*1000000/Rates!P$86</f>
        <v>5463.0463376964071</v>
      </c>
      <c r="Q126" s="282">
        <f>Assumptions!Q$116*(Rates!Q$30+Rates!Q$31)*1000000/Rates!Q$86</f>
        <v>5417.4986046867243</v>
      </c>
      <c r="R126" s="282">
        <f>Assumptions!R$116*(Rates!R$30+Rates!R$31)*1000000/Rates!R$86</f>
        <v>5398.7904002382929</v>
      </c>
      <c r="S126" s="282">
        <f>Assumptions!S$116*(Rates!S$30+Rates!S$31)*1000000/Rates!S$86</f>
        <v>5352.4213906420127</v>
      </c>
      <c r="T126" s="282">
        <f>Assumptions!T$116*(Rates!T$30+Rates!T$31)*1000000/Rates!T$86</f>
        <v>5341.4871632258855</v>
      </c>
      <c r="U126" s="282">
        <f>Assumptions!U$116*(Rates!U$30+Rates!U$31)*1000000/Rates!U$86</f>
        <v>5311.0872544727281</v>
      </c>
      <c r="V126" s="282">
        <f>Assumptions!V$116*(Rates!V$30+Rates!V$31)*1000000/Rates!V$86</f>
        <v>5316.5814375727496</v>
      </c>
      <c r="W126" s="282">
        <f>Assumptions!W$116*(Rates!W$30+Rates!W$31)*1000000/Rates!W$86</f>
        <v>5288.9973489543818</v>
      </c>
      <c r="X126" s="282">
        <f>Assumptions!X$116*(Rates!X$30+Rates!X$31)*1000000/Rates!X$86</f>
        <v>5279.5691900179581</v>
      </c>
    </row>
    <row r="127" spans="1:24" x14ac:dyDescent="0.2">
      <c r="A127" s="53"/>
      <c r="B127" s="53"/>
      <c r="C127" s="53"/>
      <c r="D127" s="53"/>
      <c r="E127" s="56"/>
      <c r="F127" s="56"/>
      <c r="G127" s="56"/>
      <c r="H127" s="56"/>
      <c r="I127" s="56"/>
      <c r="J127" s="56"/>
      <c r="K127" s="56"/>
      <c r="L127" s="56"/>
      <c r="M127" s="56"/>
      <c r="N127" s="56"/>
      <c r="O127" s="56"/>
      <c r="P127" s="56"/>
      <c r="Q127" s="56"/>
      <c r="R127" s="56"/>
      <c r="S127" s="56"/>
      <c r="T127" s="56"/>
      <c r="U127" s="56"/>
      <c r="V127" s="56"/>
      <c r="W127" s="56"/>
      <c r="X127" s="56"/>
    </row>
    <row r="128" spans="1:24" s="27" customFormat="1" x14ac:dyDescent="0.2">
      <c r="A128" s="64" t="s">
        <v>328</v>
      </c>
      <c r="B128" s="64"/>
      <c r="C128" s="64"/>
      <c r="D128" s="64"/>
      <c r="E128" s="87"/>
      <c r="F128" s="87"/>
      <c r="G128" s="87"/>
      <c r="H128" s="87"/>
      <c r="I128" s="87"/>
      <c r="J128" s="87"/>
      <c r="K128" s="87"/>
      <c r="L128" s="87"/>
      <c r="M128" s="87"/>
      <c r="N128" s="87"/>
      <c r="O128" s="87"/>
      <c r="P128" s="87"/>
      <c r="Q128" s="87"/>
      <c r="R128" s="87"/>
      <c r="S128" s="87"/>
      <c r="T128" s="87"/>
      <c r="U128" s="87"/>
      <c r="V128" s="87"/>
      <c r="W128" s="87"/>
      <c r="X128" s="87"/>
    </row>
    <row r="129" spans="1:24" s="27" customFormat="1" x14ac:dyDescent="0.2">
      <c r="A129" s="62"/>
      <c r="B129" s="62"/>
      <c r="C129" s="62"/>
      <c r="D129" s="62"/>
      <c r="E129" s="286">
        <f>E115</f>
        <v>2020</v>
      </c>
      <c r="F129" s="286">
        <f t="shared" ref="F129:V129" si="290">F115</f>
        <v>2021</v>
      </c>
      <c r="G129" s="286">
        <f t="shared" si="290"/>
        <v>2022</v>
      </c>
      <c r="H129" s="286">
        <f t="shared" si="290"/>
        <v>2023</v>
      </c>
      <c r="I129" s="286">
        <f t="shared" si="290"/>
        <v>2024</v>
      </c>
      <c r="J129" s="286">
        <f t="shared" si="290"/>
        <v>2025</v>
      </c>
      <c r="K129" s="286">
        <f t="shared" si="290"/>
        <v>2026</v>
      </c>
      <c r="L129" s="286">
        <f t="shared" si="290"/>
        <v>2027</v>
      </c>
      <c r="M129" s="286">
        <f t="shared" si="290"/>
        <v>2028</v>
      </c>
      <c r="N129" s="286">
        <f t="shared" si="290"/>
        <v>2029</v>
      </c>
      <c r="O129" s="286">
        <f t="shared" si="290"/>
        <v>2030</v>
      </c>
      <c r="P129" s="286">
        <f t="shared" si="290"/>
        <v>2031</v>
      </c>
      <c r="Q129" s="286">
        <f t="shared" si="290"/>
        <v>2032</v>
      </c>
      <c r="R129" s="286">
        <f t="shared" si="290"/>
        <v>2033</v>
      </c>
      <c r="S129" s="286">
        <f t="shared" si="290"/>
        <v>2034</v>
      </c>
      <c r="T129" s="286">
        <f t="shared" si="290"/>
        <v>2035</v>
      </c>
      <c r="U129" s="286">
        <f t="shared" si="290"/>
        <v>2036</v>
      </c>
      <c r="V129" s="286">
        <f t="shared" si="290"/>
        <v>2037</v>
      </c>
      <c r="W129" s="286">
        <f t="shared" ref="W129:X129" si="291">W115</f>
        <v>2038</v>
      </c>
      <c r="X129" s="286">
        <f t="shared" si="291"/>
        <v>2039</v>
      </c>
    </row>
    <row r="130" spans="1:24" s="27" customFormat="1" x14ac:dyDescent="0.2">
      <c r="A130" s="278" t="s">
        <v>319</v>
      </c>
      <c r="B130" s="279"/>
      <c r="C130" s="279"/>
      <c r="D130" s="279"/>
      <c r="E130" s="282">
        <f>Assumptions!E$115*(Rates!E$30+Rates!E$31)*1000000/E$83</f>
        <v>7718.2008783962247</v>
      </c>
      <c r="F130" s="282">
        <f>Assumptions!F$115*(Rates!F$30+Rates!F$31)*1000000/F$83</f>
        <v>7440.1751598556875</v>
      </c>
      <c r="G130" s="282">
        <f>Assumptions!G$115*(Rates!G$30+Rates!G$31)*1000000/G$83</f>
        <v>7590.8343076457477</v>
      </c>
      <c r="H130" s="282">
        <f>Assumptions!H$115*(Rates!H$30+Rates!H$31)*1000000/H$83</f>
        <v>7729.6625068615795</v>
      </c>
      <c r="I130" s="282">
        <f>Assumptions!I$115*(Rates!I$30+Rates!I$31)*1000000/I$83</f>
        <v>8214.1411741638931</v>
      </c>
      <c r="J130" s="282">
        <f>Assumptions!J$115*(Rates!J$30+Rates!J$31)*1000000/J$83</f>
        <v>8538.9438604826228</v>
      </c>
      <c r="K130" s="282">
        <f>Assumptions!K$115*(Rates!K$30+Rates!K$31)*1000000/K$83</f>
        <v>8564.1005396326273</v>
      </c>
      <c r="L130" s="282">
        <f>Assumptions!L$115*(Rates!L$30+Rates!L$31)*1000000/L$83</f>
        <v>8634.890843824036</v>
      </c>
      <c r="M130" s="282">
        <f>Assumptions!M$115*(Rates!M$30+Rates!M$31)*1000000/M$83</f>
        <v>8647.4198754617355</v>
      </c>
      <c r="N130" s="282">
        <f>Assumptions!N$115*(Rates!N$30+Rates!N$31)*1000000/N$83</f>
        <v>8701.5024173574002</v>
      </c>
      <c r="O130" s="282">
        <f>Assumptions!O$115*(Rates!O$30+Rates!O$31)*1000000/O$83</f>
        <v>8752.7370939681659</v>
      </c>
      <c r="P130" s="282">
        <f>Assumptions!P$115*(Rates!P$30+Rates!P$31)*1000000/P$83</f>
        <v>8693.6673093580157</v>
      </c>
      <c r="Q130" s="282">
        <f>Assumptions!Q$115*(Rates!Q$30+Rates!Q$31)*1000000/Q$83</f>
        <v>8621.1845199023792</v>
      </c>
      <c r="R130" s="282">
        <f>Assumptions!R$115*(Rates!R$30+Rates!R$31)*1000000/R$83</f>
        <v>8591.4130525970704</v>
      </c>
      <c r="S130" s="282">
        <f>Assumptions!S$115*(Rates!S$30+Rates!S$31)*1000000/S$83</f>
        <v>8517.6233173512082</v>
      </c>
      <c r="T130" s="282">
        <f>Assumptions!T$115*(Rates!T$30+Rates!T$31)*1000000/T$83</f>
        <v>8500.2230374405772</v>
      </c>
      <c r="U130" s="282">
        <f>Assumptions!U$115*(Rates!U$30+Rates!U$31)*1000000/U$83</f>
        <v>8451.8458726504577</v>
      </c>
      <c r="V130" s="282">
        <f>Assumptions!V$115*(Rates!V$30+Rates!V$31)*1000000/V$83</f>
        <v>8460.5890897230838</v>
      </c>
      <c r="W130" s="282">
        <f>Assumptions!W$115*(Rates!W$30+Rates!W$31)*1000000/W$83</f>
        <v>8416.6929053130752</v>
      </c>
      <c r="X130" s="282">
        <f>Assumptions!X$115*(Rates!X$30+Rates!X$31)*1000000/X$83</f>
        <v>8401.6893208537167</v>
      </c>
    </row>
    <row r="131" spans="1:24" s="27" customFormat="1" x14ac:dyDescent="0.2">
      <c r="A131" s="278" t="s">
        <v>228</v>
      </c>
      <c r="B131" s="279"/>
      <c r="C131" s="279"/>
      <c r="D131" s="279"/>
      <c r="E131" s="282">
        <f>Assumptions!E$116*(Rates!E$30+Rates!E$31)*1000000/Rates!E$86</f>
        <v>4850.0693138948</v>
      </c>
      <c r="F131" s="282">
        <f>Assumptions!F$116*(Rates!F$30+Rates!F$31)*1000000/Rates!F$86</f>
        <v>4675.3596856780214</v>
      </c>
      <c r="G131" s="282">
        <f>Assumptions!G$116*(Rates!G$30+Rates!G$31)*1000000/Rates!G$86</f>
        <v>4770.0329548850214</v>
      </c>
      <c r="H131" s="282">
        <f>Assumptions!H$116*(Rates!H$30+Rates!H$31)*1000000/Rates!H$86</f>
        <v>4857.2717297664412</v>
      </c>
      <c r="I131" s="282">
        <f>Assumptions!I$116*(Rates!I$30+Rates!I$31)*1000000/Rates!I$86</f>
        <v>5161.7151038818683</v>
      </c>
      <c r="J131" s="282">
        <f>Assumptions!J$116*(Rates!J$30+Rates!J$31)*1000000/Rates!J$86</f>
        <v>5365.8190870257231</v>
      </c>
      <c r="K131" s="282">
        <f>Assumptions!K$116*(Rates!K$30+Rates!K$31)*1000000/Rates!K$86</f>
        <v>5381.6273873676409</v>
      </c>
      <c r="L131" s="282">
        <f>Assumptions!L$116*(Rates!L$30+Rates!L$31)*1000000/Rates!L$86</f>
        <v>5426.111573188854</v>
      </c>
      <c r="M131" s="282">
        <f>Assumptions!M$116*(Rates!M$30+Rates!M$31)*1000000/Rates!M$86</f>
        <v>5433.9847385594148</v>
      </c>
      <c r="N131" s="282">
        <f>Assumptions!N$116*(Rates!N$30+Rates!N$31)*1000000/Rates!N$86</f>
        <v>5467.9698707162879</v>
      </c>
      <c r="O131" s="282">
        <f>Assumptions!O$116*(Rates!O$30+Rates!O$31)*1000000/Rates!O$86</f>
        <v>5500.1654220827659</v>
      </c>
      <c r="P131" s="282">
        <f>Assumptions!P$116*(Rates!P$30+Rates!P$31)*1000000/Rates!P$86</f>
        <v>5463.0463376964071</v>
      </c>
      <c r="Q131" s="282">
        <f>Assumptions!Q$116*(Rates!Q$30+Rates!Q$31)*1000000/Rates!Q$86</f>
        <v>5417.4986046867243</v>
      </c>
      <c r="R131" s="282">
        <f>Assumptions!R$116*(Rates!R$30+Rates!R$31)*1000000/Rates!R$86</f>
        <v>5398.7904002382929</v>
      </c>
      <c r="S131" s="282">
        <f>Assumptions!S$116*(Rates!S$30+Rates!S$31)*1000000/Rates!S$86</f>
        <v>5352.4213906420127</v>
      </c>
      <c r="T131" s="282">
        <f>Assumptions!T$116*(Rates!T$30+Rates!T$31)*1000000/Rates!T$86</f>
        <v>5341.4871632258855</v>
      </c>
      <c r="U131" s="282">
        <f>Assumptions!U$116*(Rates!U$30+Rates!U$31)*1000000/Rates!U$86</f>
        <v>5311.0872544727281</v>
      </c>
      <c r="V131" s="282">
        <f>Assumptions!V$116*(Rates!V$30+Rates!V$31)*1000000/Rates!V$86</f>
        <v>5316.5814375727496</v>
      </c>
      <c r="W131" s="282">
        <f>Assumptions!W$116*(Rates!W$30+Rates!W$31)*1000000/Rates!W$86</f>
        <v>5288.9973489543818</v>
      </c>
      <c r="X131" s="282">
        <f>Assumptions!X$116*(Rates!X$30+Rates!X$31)*1000000/Rates!X$86</f>
        <v>5279.5691900179581</v>
      </c>
    </row>
    <row r="132" spans="1:24" x14ac:dyDescent="0.2">
      <c r="A132" s="53"/>
      <c r="B132" s="53"/>
      <c r="C132" s="53"/>
      <c r="D132" s="53"/>
      <c r="E132" s="56"/>
      <c r="F132" s="56"/>
      <c r="G132" s="56"/>
      <c r="H132" s="56"/>
      <c r="I132" s="56"/>
      <c r="J132" s="56"/>
      <c r="K132" s="56"/>
      <c r="L132" s="56"/>
      <c r="M132" s="56"/>
      <c r="N132" s="56"/>
      <c r="O132" s="56"/>
      <c r="P132" s="56"/>
      <c r="Q132" s="56"/>
      <c r="R132" s="56"/>
      <c r="S132" s="56"/>
      <c r="T132" s="56"/>
      <c r="U132" s="56"/>
      <c r="V132" s="56"/>
    </row>
    <row r="133" spans="1:24" x14ac:dyDescent="0.2">
      <c r="A133" s="245"/>
    </row>
  </sheetData>
  <pageMargins left="0.5" right="0.5" top="0.75" bottom="0.75" header="0.5" footer="0.25"/>
  <pageSetup paperSize="17" scale="55" fitToHeight="0" orientation="landscape" r:id="rId1"/>
  <rowBreaks count="1" manualBreakCount="1">
    <brk id="7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160"/>
  <sheetViews>
    <sheetView showGridLines="0" topLeftCell="A135" zoomScaleNormal="100" workbookViewId="0">
      <selection activeCell="H24" sqref="H24"/>
    </sheetView>
  </sheetViews>
  <sheetFormatPr defaultColWidth="10.7109375" defaultRowHeight="12.75" x14ac:dyDescent="0.2"/>
  <cols>
    <col min="1" max="1" width="10.7109375" style="5"/>
    <col min="2" max="3" width="10.7109375" style="5" customWidth="1"/>
    <col min="4" max="4" width="12" style="5" customWidth="1"/>
    <col min="5" max="7" width="10.7109375" style="5" customWidth="1"/>
    <col min="8" max="8" width="12.28515625" style="5" customWidth="1"/>
    <col min="9" max="11" width="10.7109375" style="5" customWidth="1"/>
    <col min="12" max="12" width="9.140625" style="5" customWidth="1"/>
    <col min="13" max="22" width="10.7109375" style="5" customWidth="1"/>
    <col min="23" max="16384" width="10.7109375" style="5"/>
  </cols>
  <sheetData>
    <row r="1" spans="1:24" s="2" customFormat="1" x14ac:dyDescent="0.2">
      <c r="A1" s="3" t="s">
        <v>9</v>
      </c>
    </row>
    <row r="2" spans="1:24" s="2" customFormat="1" x14ac:dyDescent="0.2">
      <c r="A2" s="3" t="s">
        <v>305</v>
      </c>
      <c r="I2" s="4"/>
    </row>
    <row r="3" spans="1:24" s="2" customFormat="1" x14ac:dyDescent="0.2">
      <c r="A3" s="3" t="s">
        <v>240</v>
      </c>
    </row>
    <row r="4" spans="1:24" x14ac:dyDescent="0.2">
      <c r="A4" s="4" t="s">
        <v>316</v>
      </c>
    </row>
    <row r="5" spans="1:24" x14ac:dyDescent="0.2">
      <c r="A5" s="4" t="s">
        <v>16</v>
      </c>
      <c r="C5" s="68"/>
      <c r="D5" s="108" t="s">
        <v>141</v>
      </c>
      <c r="E5" s="108"/>
      <c r="F5" s="108"/>
      <c r="G5" s="108"/>
    </row>
    <row r="6" spans="1:24" x14ac:dyDescent="0.2">
      <c r="C6" s="306"/>
      <c r="D6" s="5" t="s">
        <v>297</v>
      </c>
    </row>
    <row r="8" spans="1:24" s="215" customFormat="1" x14ac:dyDescent="0.2">
      <c r="A8" s="6" t="s">
        <v>20</v>
      </c>
      <c r="B8" s="160"/>
      <c r="C8" s="160"/>
      <c r="D8" s="160"/>
      <c r="E8" s="160"/>
      <c r="F8" s="160"/>
      <c r="G8" s="160"/>
      <c r="H8" s="160"/>
      <c r="I8" s="160"/>
      <c r="J8" s="160"/>
      <c r="K8" s="160"/>
      <c r="L8" s="160"/>
      <c r="M8" s="214"/>
      <c r="N8" s="214"/>
      <c r="O8" s="214"/>
      <c r="P8" s="214"/>
      <c r="Q8" s="214"/>
      <c r="R8" s="214"/>
      <c r="S8" s="214"/>
      <c r="T8" s="214"/>
      <c r="U8" s="214"/>
      <c r="V8" s="214"/>
      <c r="W8" s="214"/>
      <c r="X8" s="214"/>
    </row>
    <row r="10" spans="1:24" x14ac:dyDescent="0.2">
      <c r="A10" s="73" t="s">
        <v>3</v>
      </c>
      <c r="B10" s="74"/>
      <c r="C10" s="74"/>
      <c r="D10" s="74"/>
      <c r="E10" s="75">
        <v>2020</v>
      </c>
      <c r="F10" s="75">
        <f t="shared" ref="F10" si="0">E10+1</f>
        <v>2021</v>
      </c>
      <c r="G10" s="75">
        <f t="shared" ref="G10" si="1">F10+1</f>
        <v>2022</v>
      </c>
      <c r="H10" s="75">
        <f t="shared" ref="H10" si="2">G10+1</f>
        <v>2023</v>
      </c>
      <c r="I10" s="75">
        <f t="shared" ref="I10" si="3">H10+1</f>
        <v>2024</v>
      </c>
      <c r="J10" s="75">
        <f t="shared" ref="J10" si="4">I10+1</f>
        <v>2025</v>
      </c>
      <c r="K10" s="75">
        <f t="shared" ref="K10" si="5">J10+1</f>
        <v>2026</v>
      </c>
      <c r="L10" s="75">
        <f t="shared" ref="L10" si="6">K10+1</f>
        <v>2027</v>
      </c>
      <c r="M10" s="75">
        <f t="shared" ref="M10" si="7">L10+1</f>
        <v>2028</v>
      </c>
      <c r="N10" s="75">
        <f t="shared" ref="N10" si="8">M10+1</f>
        <v>2029</v>
      </c>
      <c r="O10" s="75">
        <f t="shared" ref="O10" si="9">N10+1</f>
        <v>2030</v>
      </c>
      <c r="P10" s="75">
        <f t="shared" ref="P10" si="10">O10+1</f>
        <v>2031</v>
      </c>
      <c r="Q10" s="75">
        <f t="shared" ref="Q10" si="11">P10+1</f>
        <v>2032</v>
      </c>
      <c r="R10" s="75">
        <f t="shared" ref="R10" si="12">Q10+1</f>
        <v>2033</v>
      </c>
      <c r="S10" s="75">
        <f t="shared" ref="S10" si="13">R10+1</f>
        <v>2034</v>
      </c>
      <c r="T10" s="75">
        <f t="shared" ref="T10:V10" si="14">S10+1</f>
        <v>2035</v>
      </c>
      <c r="U10" s="75">
        <f t="shared" si="14"/>
        <v>2036</v>
      </c>
      <c r="V10" s="75">
        <f t="shared" si="14"/>
        <v>2037</v>
      </c>
      <c r="W10" s="75">
        <f t="shared" ref="W10" si="15">V10+1</f>
        <v>2038</v>
      </c>
      <c r="X10" s="75">
        <f t="shared" ref="X10" si="16">W10+1</f>
        <v>2039</v>
      </c>
    </row>
    <row r="11" spans="1:24" x14ac:dyDescent="0.2">
      <c r="A11" s="7" t="s">
        <v>37</v>
      </c>
      <c r="B11" s="8"/>
      <c r="C11" s="9"/>
      <c r="D11" s="9"/>
      <c r="E11" s="10">
        <v>8.5000000000000006E-2</v>
      </c>
      <c r="F11" s="10">
        <f t="shared" ref="F11:F16" si="17">E11</f>
        <v>8.5000000000000006E-2</v>
      </c>
      <c r="G11" s="10">
        <f t="shared" ref="G11:G16" si="18">F11</f>
        <v>8.5000000000000006E-2</v>
      </c>
      <c r="H11" s="10">
        <f t="shared" ref="H11:H16" si="19">G11</f>
        <v>8.5000000000000006E-2</v>
      </c>
      <c r="I11" s="10">
        <f t="shared" ref="I11:I16" si="20">H11</f>
        <v>8.5000000000000006E-2</v>
      </c>
      <c r="J11" s="10">
        <f t="shared" ref="J11:J16" si="21">I11</f>
        <v>8.5000000000000006E-2</v>
      </c>
      <c r="K11" s="10">
        <f t="shared" ref="K11:K16" si="22">J11</f>
        <v>8.5000000000000006E-2</v>
      </c>
      <c r="L11" s="10">
        <f t="shared" ref="L11:L16" si="23">K11</f>
        <v>8.5000000000000006E-2</v>
      </c>
      <c r="M11" s="10">
        <f t="shared" ref="M11:M16" si="24">L11</f>
        <v>8.5000000000000006E-2</v>
      </c>
      <c r="N11" s="10">
        <f t="shared" ref="N11:N16" si="25">M11</f>
        <v>8.5000000000000006E-2</v>
      </c>
      <c r="O11" s="10">
        <f t="shared" ref="O11:O16" si="26">N11</f>
        <v>8.5000000000000006E-2</v>
      </c>
      <c r="P11" s="10">
        <f t="shared" ref="P11:P16" si="27">O11</f>
        <v>8.5000000000000006E-2</v>
      </c>
      <c r="Q11" s="10">
        <f t="shared" ref="Q11:Q16" si="28">P11</f>
        <v>8.5000000000000006E-2</v>
      </c>
      <c r="R11" s="10">
        <f t="shared" ref="R11:R16" si="29">Q11</f>
        <v>8.5000000000000006E-2</v>
      </c>
      <c r="S11" s="10">
        <f t="shared" ref="S11:S16" si="30">R11</f>
        <v>8.5000000000000006E-2</v>
      </c>
      <c r="T11" s="10">
        <f t="shared" ref="T11:T16" si="31">S11</f>
        <v>8.5000000000000006E-2</v>
      </c>
      <c r="U11" s="10">
        <f t="shared" ref="U11:U16" si="32">T11</f>
        <v>8.5000000000000006E-2</v>
      </c>
      <c r="V11" s="10">
        <f t="shared" ref="V11:V16" si="33">U11</f>
        <v>8.5000000000000006E-2</v>
      </c>
      <c r="W11" s="10">
        <f t="shared" ref="W11:W16" si="34">V11</f>
        <v>8.5000000000000006E-2</v>
      </c>
      <c r="X11" s="10">
        <f t="shared" ref="X11:X16" si="35">W11</f>
        <v>8.5000000000000006E-2</v>
      </c>
    </row>
    <row r="12" spans="1:24" x14ac:dyDescent="0.2">
      <c r="A12" s="8" t="s">
        <v>33</v>
      </c>
      <c r="B12" s="8"/>
      <c r="C12" s="8"/>
      <c r="D12" s="8"/>
      <c r="E12" s="10">
        <v>0.37</v>
      </c>
      <c r="F12" s="10">
        <f t="shared" si="17"/>
        <v>0.37</v>
      </c>
      <c r="G12" s="10">
        <f t="shared" si="18"/>
        <v>0.37</v>
      </c>
      <c r="H12" s="10">
        <f t="shared" si="19"/>
        <v>0.37</v>
      </c>
      <c r="I12" s="10">
        <f t="shared" si="20"/>
        <v>0.37</v>
      </c>
      <c r="J12" s="10">
        <f t="shared" si="21"/>
        <v>0.37</v>
      </c>
      <c r="K12" s="10">
        <f t="shared" si="22"/>
        <v>0.37</v>
      </c>
      <c r="L12" s="10">
        <f t="shared" si="23"/>
        <v>0.37</v>
      </c>
      <c r="M12" s="10">
        <f t="shared" si="24"/>
        <v>0.37</v>
      </c>
      <c r="N12" s="10">
        <f t="shared" si="25"/>
        <v>0.37</v>
      </c>
      <c r="O12" s="10">
        <f t="shared" si="26"/>
        <v>0.37</v>
      </c>
      <c r="P12" s="10">
        <f t="shared" si="27"/>
        <v>0.37</v>
      </c>
      <c r="Q12" s="10">
        <f t="shared" si="28"/>
        <v>0.37</v>
      </c>
      <c r="R12" s="10">
        <f t="shared" si="29"/>
        <v>0.37</v>
      </c>
      <c r="S12" s="10">
        <f t="shared" si="30"/>
        <v>0.37</v>
      </c>
      <c r="T12" s="10">
        <f t="shared" si="31"/>
        <v>0.37</v>
      </c>
      <c r="U12" s="10">
        <f t="shared" si="32"/>
        <v>0.37</v>
      </c>
      <c r="V12" s="10">
        <f t="shared" si="33"/>
        <v>0.37</v>
      </c>
      <c r="W12" s="10">
        <f t="shared" si="34"/>
        <v>0.37</v>
      </c>
      <c r="X12" s="10">
        <f t="shared" si="35"/>
        <v>0.37</v>
      </c>
    </row>
    <row r="13" spans="1:24" x14ac:dyDescent="0.2">
      <c r="A13" s="8" t="s">
        <v>22</v>
      </c>
      <c r="B13" s="17"/>
      <c r="C13" s="8"/>
      <c r="D13" s="8"/>
      <c r="E13" s="10">
        <v>4.3978969804294152E-2</v>
      </c>
      <c r="F13" s="10">
        <f t="shared" si="17"/>
        <v>4.3978969804294152E-2</v>
      </c>
      <c r="G13" s="10">
        <f t="shared" si="18"/>
        <v>4.3978969804294152E-2</v>
      </c>
      <c r="H13" s="10">
        <f t="shared" si="19"/>
        <v>4.3978969804294152E-2</v>
      </c>
      <c r="I13" s="10">
        <f t="shared" si="20"/>
        <v>4.3978969804294152E-2</v>
      </c>
      <c r="J13" s="10">
        <f t="shared" si="21"/>
        <v>4.3978969804294152E-2</v>
      </c>
      <c r="K13" s="10">
        <f t="shared" si="22"/>
        <v>4.3978969804294152E-2</v>
      </c>
      <c r="L13" s="10">
        <f t="shared" si="23"/>
        <v>4.3978969804294152E-2</v>
      </c>
      <c r="M13" s="10">
        <f t="shared" si="24"/>
        <v>4.3978969804294152E-2</v>
      </c>
      <c r="N13" s="10">
        <f t="shared" si="25"/>
        <v>4.3978969804294152E-2</v>
      </c>
      <c r="O13" s="10">
        <f t="shared" si="26"/>
        <v>4.3978969804294152E-2</v>
      </c>
      <c r="P13" s="10">
        <f t="shared" si="27"/>
        <v>4.3978969804294152E-2</v>
      </c>
      <c r="Q13" s="10">
        <f t="shared" si="28"/>
        <v>4.3978969804294152E-2</v>
      </c>
      <c r="R13" s="10">
        <f t="shared" si="29"/>
        <v>4.3978969804294152E-2</v>
      </c>
      <c r="S13" s="10">
        <f t="shared" si="30"/>
        <v>4.3978969804294152E-2</v>
      </c>
      <c r="T13" s="10">
        <f t="shared" si="31"/>
        <v>4.3978969804294152E-2</v>
      </c>
      <c r="U13" s="10">
        <f t="shared" si="32"/>
        <v>4.3978969804294152E-2</v>
      </c>
      <c r="V13" s="10">
        <f t="shared" si="33"/>
        <v>4.3978969804294152E-2</v>
      </c>
      <c r="W13" s="10">
        <f t="shared" si="34"/>
        <v>4.3978969804294152E-2</v>
      </c>
      <c r="X13" s="10">
        <f t="shared" si="35"/>
        <v>4.3978969804294152E-2</v>
      </c>
    </row>
    <row r="14" spans="1:24" x14ac:dyDescent="0.2">
      <c r="A14" s="236" t="s">
        <v>47</v>
      </c>
      <c r="B14" s="167"/>
      <c r="C14" s="167"/>
      <c r="D14" s="167"/>
      <c r="E14" s="10">
        <v>5.8026540674748259E-2</v>
      </c>
      <c r="F14" s="10">
        <f t="shared" si="17"/>
        <v>5.8026540674748259E-2</v>
      </c>
      <c r="G14" s="10">
        <f t="shared" si="18"/>
        <v>5.8026540674748259E-2</v>
      </c>
      <c r="H14" s="10">
        <f t="shared" si="19"/>
        <v>5.8026540674748259E-2</v>
      </c>
      <c r="I14" s="10">
        <f t="shared" si="20"/>
        <v>5.8026540674748259E-2</v>
      </c>
      <c r="J14" s="10">
        <f t="shared" si="21"/>
        <v>5.8026540674748259E-2</v>
      </c>
      <c r="K14" s="10">
        <f t="shared" si="22"/>
        <v>5.8026540674748259E-2</v>
      </c>
      <c r="L14" s="10">
        <f t="shared" si="23"/>
        <v>5.8026540674748259E-2</v>
      </c>
      <c r="M14" s="10">
        <f t="shared" si="24"/>
        <v>5.8026540674748259E-2</v>
      </c>
      <c r="N14" s="10">
        <f t="shared" si="25"/>
        <v>5.8026540674748259E-2</v>
      </c>
      <c r="O14" s="10">
        <f t="shared" si="26"/>
        <v>5.8026540674748259E-2</v>
      </c>
      <c r="P14" s="10">
        <f t="shared" si="27"/>
        <v>5.8026540674748259E-2</v>
      </c>
      <c r="Q14" s="10">
        <f t="shared" si="28"/>
        <v>5.8026540674748259E-2</v>
      </c>
      <c r="R14" s="10">
        <f t="shared" si="29"/>
        <v>5.8026540674748259E-2</v>
      </c>
      <c r="S14" s="10">
        <f t="shared" si="30"/>
        <v>5.8026540674748259E-2</v>
      </c>
      <c r="T14" s="10">
        <f t="shared" si="31"/>
        <v>5.8026540674748259E-2</v>
      </c>
      <c r="U14" s="10">
        <f t="shared" si="32"/>
        <v>5.8026540674748259E-2</v>
      </c>
      <c r="V14" s="10">
        <f t="shared" si="33"/>
        <v>5.8026540674748259E-2</v>
      </c>
      <c r="W14" s="10">
        <f t="shared" si="34"/>
        <v>5.8026540674748259E-2</v>
      </c>
      <c r="X14" s="10">
        <f t="shared" si="35"/>
        <v>5.8026540674748259E-2</v>
      </c>
    </row>
    <row r="15" spans="1:24" x14ac:dyDescent="0.2">
      <c r="A15" s="8" t="s">
        <v>23</v>
      </c>
      <c r="B15" s="8"/>
      <c r="C15" s="9"/>
      <c r="D15" s="9"/>
      <c r="E15" s="10">
        <v>0.15</v>
      </c>
      <c r="F15" s="10">
        <f t="shared" si="17"/>
        <v>0.15</v>
      </c>
      <c r="G15" s="10">
        <f t="shared" si="18"/>
        <v>0.15</v>
      </c>
      <c r="H15" s="10">
        <f t="shared" si="19"/>
        <v>0.15</v>
      </c>
      <c r="I15" s="10">
        <f t="shared" si="20"/>
        <v>0.15</v>
      </c>
      <c r="J15" s="10">
        <f t="shared" si="21"/>
        <v>0.15</v>
      </c>
      <c r="K15" s="10">
        <f t="shared" si="22"/>
        <v>0.15</v>
      </c>
      <c r="L15" s="10">
        <f t="shared" si="23"/>
        <v>0.15</v>
      </c>
      <c r="M15" s="10">
        <f t="shared" si="24"/>
        <v>0.15</v>
      </c>
      <c r="N15" s="10">
        <f t="shared" si="25"/>
        <v>0.15</v>
      </c>
      <c r="O15" s="10">
        <f t="shared" si="26"/>
        <v>0.15</v>
      </c>
      <c r="P15" s="10">
        <f t="shared" si="27"/>
        <v>0.15</v>
      </c>
      <c r="Q15" s="10">
        <f t="shared" si="28"/>
        <v>0.15</v>
      </c>
      <c r="R15" s="10">
        <f t="shared" si="29"/>
        <v>0.15</v>
      </c>
      <c r="S15" s="10">
        <f t="shared" si="30"/>
        <v>0.15</v>
      </c>
      <c r="T15" s="10">
        <f t="shared" si="31"/>
        <v>0.15</v>
      </c>
      <c r="U15" s="10">
        <f t="shared" si="32"/>
        <v>0.15</v>
      </c>
      <c r="V15" s="10">
        <f t="shared" si="33"/>
        <v>0.15</v>
      </c>
      <c r="W15" s="10">
        <f t="shared" si="34"/>
        <v>0.15</v>
      </c>
      <c r="X15" s="10">
        <f t="shared" si="35"/>
        <v>0.15</v>
      </c>
    </row>
    <row r="16" spans="1:24" x14ac:dyDescent="0.2">
      <c r="A16" s="8" t="s">
        <v>24</v>
      </c>
      <c r="B16" s="8"/>
      <c r="C16" s="8"/>
      <c r="D16" s="8"/>
      <c r="E16" s="10">
        <v>0.12</v>
      </c>
      <c r="F16" s="10">
        <f t="shared" si="17"/>
        <v>0.12</v>
      </c>
      <c r="G16" s="10">
        <f t="shared" si="18"/>
        <v>0.12</v>
      </c>
      <c r="H16" s="10">
        <f t="shared" si="19"/>
        <v>0.12</v>
      </c>
      <c r="I16" s="10">
        <f t="shared" si="20"/>
        <v>0.12</v>
      </c>
      <c r="J16" s="10">
        <f t="shared" si="21"/>
        <v>0.12</v>
      </c>
      <c r="K16" s="10">
        <f t="shared" si="22"/>
        <v>0.12</v>
      </c>
      <c r="L16" s="10">
        <f t="shared" si="23"/>
        <v>0.12</v>
      </c>
      <c r="M16" s="10">
        <f t="shared" si="24"/>
        <v>0.12</v>
      </c>
      <c r="N16" s="10">
        <f t="shared" si="25"/>
        <v>0.12</v>
      </c>
      <c r="O16" s="10">
        <f t="shared" si="26"/>
        <v>0.12</v>
      </c>
      <c r="P16" s="10">
        <f t="shared" si="27"/>
        <v>0.12</v>
      </c>
      <c r="Q16" s="10">
        <f t="shared" si="28"/>
        <v>0.12</v>
      </c>
      <c r="R16" s="10">
        <f t="shared" si="29"/>
        <v>0.12</v>
      </c>
      <c r="S16" s="10">
        <f t="shared" si="30"/>
        <v>0.12</v>
      </c>
      <c r="T16" s="10">
        <f t="shared" si="31"/>
        <v>0.12</v>
      </c>
      <c r="U16" s="10">
        <f t="shared" si="32"/>
        <v>0.12</v>
      </c>
      <c r="V16" s="10">
        <f t="shared" si="33"/>
        <v>0.12</v>
      </c>
      <c r="W16" s="10">
        <f t="shared" si="34"/>
        <v>0.12</v>
      </c>
      <c r="X16" s="10">
        <f t="shared" si="35"/>
        <v>0.12</v>
      </c>
    </row>
    <row r="17" spans="1:25" x14ac:dyDescent="0.2">
      <c r="A17" s="8" t="s">
        <v>25</v>
      </c>
      <c r="B17" s="8"/>
      <c r="C17" s="8"/>
      <c r="D17" s="8"/>
      <c r="E17" s="10">
        <v>0.27</v>
      </c>
      <c r="F17" s="10">
        <f t="shared" ref="F17" si="36">F15+F16</f>
        <v>0.27</v>
      </c>
      <c r="G17" s="10">
        <f t="shared" ref="G17:X17" si="37">G15+G16</f>
        <v>0.27</v>
      </c>
      <c r="H17" s="10">
        <f t="shared" si="37"/>
        <v>0.27</v>
      </c>
      <c r="I17" s="10">
        <f t="shared" si="37"/>
        <v>0.27</v>
      </c>
      <c r="J17" s="10">
        <f t="shared" si="37"/>
        <v>0.27</v>
      </c>
      <c r="K17" s="10">
        <f t="shared" si="37"/>
        <v>0.27</v>
      </c>
      <c r="L17" s="10">
        <f t="shared" si="37"/>
        <v>0.27</v>
      </c>
      <c r="M17" s="10">
        <f t="shared" si="37"/>
        <v>0.27</v>
      </c>
      <c r="N17" s="10">
        <f t="shared" si="37"/>
        <v>0.27</v>
      </c>
      <c r="O17" s="10">
        <f t="shared" si="37"/>
        <v>0.27</v>
      </c>
      <c r="P17" s="10">
        <f t="shared" si="37"/>
        <v>0.27</v>
      </c>
      <c r="Q17" s="10">
        <f t="shared" si="37"/>
        <v>0.27</v>
      </c>
      <c r="R17" s="10">
        <f t="shared" si="37"/>
        <v>0.27</v>
      </c>
      <c r="S17" s="10">
        <f t="shared" si="37"/>
        <v>0.27</v>
      </c>
      <c r="T17" s="10">
        <f t="shared" si="37"/>
        <v>0.27</v>
      </c>
      <c r="U17" s="10">
        <f t="shared" si="37"/>
        <v>0.27</v>
      </c>
      <c r="V17" s="10">
        <f t="shared" si="37"/>
        <v>0.27</v>
      </c>
      <c r="W17" s="10">
        <f t="shared" si="37"/>
        <v>0.27</v>
      </c>
      <c r="X17" s="10">
        <f t="shared" si="37"/>
        <v>0.27</v>
      </c>
    </row>
    <row r="18" spans="1:25" x14ac:dyDescent="0.2">
      <c r="A18" s="14" t="s">
        <v>158</v>
      </c>
      <c r="B18" s="17"/>
      <c r="C18" s="8"/>
      <c r="D18" s="8"/>
      <c r="E18" s="10">
        <v>3.0496357076080473E-2</v>
      </c>
      <c r="F18" s="10">
        <f t="shared" ref="F18:F20" si="38">E18</f>
        <v>3.0496357076080473E-2</v>
      </c>
      <c r="G18" s="10">
        <f t="shared" ref="G18:G20" si="39">F18</f>
        <v>3.0496357076080473E-2</v>
      </c>
      <c r="H18" s="10">
        <f t="shared" ref="H18:H20" si="40">G18</f>
        <v>3.0496357076080473E-2</v>
      </c>
      <c r="I18" s="10">
        <f t="shared" ref="I18:I20" si="41">H18</f>
        <v>3.0496357076080473E-2</v>
      </c>
      <c r="J18" s="10">
        <f t="shared" ref="J18:J20" si="42">I18</f>
        <v>3.0496357076080473E-2</v>
      </c>
      <c r="K18" s="10">
        <f t="shared" ref="K18:K20" si="43">J18</f>
        <v>3.0496357076080473E-2</v>
      </c>
      <c r="L18" s="10">
        <f t="shared" ref="L18:L20" si="44">K18</f>
        <v>3.0496357076080473E-2</v>
      </c>
      <c r="M18" s="10">
        <f t="shared" ref="M18:M20" si="45">L18</f>
        <v>3.0496357076080473E-2</v>
      </c>
      <c r="N18" s="10">
        <f t="shared" ref="N18:N20" si="46">M18</f>
        <v>3.0496357076080473E-2</v>
      </c>
      <c r="O18" s="10">
        <f t="shared" ref="O18:O20" si="47">N18</f>
        <v>3.0496357076080473E-2</v>
      </c>
      <c r="P18" s="10">
        <f t="shared" ref="P18:P20" si="48">O18</f>
        <v>3.0496357076080473E-2</v>
      </c>
      <c r="Q18" s="10">
        <f t="shared" ref="Q18:Q20" si="49">P18</f>
        <v>3.0496357076080473E-2</v>
      </c>
      <c r="R18" s="10">
        <f t="shared" ref="R18:R20" si="50">Q18</f>
        <v>3.0496357076080473E-2</v>
      </c>
      <c r="S18" s="10">
        <f t="shared" ref="S18:S20" si="51">R18</f>
        <v>3.0496357076080473E-2</v>
      </c>
      <c r="T18" s="10">
        <f t="shared" ref="T18:T20" si="52">S18</f>
        <v>3.0496357076080473E-2</v>
      </c>
      <c r="U18" s="10">
        <f t="shared" ref="U18:U20" si="53">T18</f>
        <v>3.0496357076080473E-2</v>
      </c>
      <c r="V18" s="10">
        <f t="shared" ref="V18:V20" si="54">U18</f>
        <v>3.0496357076080473E-2</v>
      </c>
      <c r="W18" s="10">
        <f t="shared" ref="W18:W20" si="55">V18</f>
        <v>3.0496357076080473E-2</v>
      </c>
      <c r="X18" s="10">
        <f t="shared" ref="X18:X20" si="56">W18</f>
        <v>3.0496357076080473E-2</v>
      </c>
    </row>
    <row r="19" spans="1:25" x14ac:dyDescent="0.2">
      <c r="A19" s="14" t="s">
        <v>159</v>
      </c>
      <c r="B19" s="17"/>
      <c r="C19" s="8"/>
      <c r="D19" s="8"/>
      <c r="E19" s="10">
        <v>3.229790855184362E-2</v>
      </c>
      <c r="F19" s="10">
        <f t="shared" si="38"/>
        <v>3.229790855184362E-2</v>
      </c>
      <c r="G19" s="10">
        <f t="shared" si="39"/>
        <v>3.229790855184362E-2</v>
      </c>
      <c r="H19" s="10">
        <f t="shared" si="40"/>
        <v>3.229790855184362E-2</v>
      </c>
      <c r="I19" s="10">
        <f t="shared" si="41"/>
        <v>3.229790855184362E-2</v>
      </c>
      <c r="J19" s="10">
        <f t="shared" si="42"/>
        <v>3.229790855184362E-2</v>
      </c>
      <c r="K19" s="10">
        <f t="shared" si="43"/>
        <v>3.229790855184362E-2</v>
      </c>
      <c r="L19" s="10">
        <f t="shared" si="44"/>
        <v>3.229790855184362E-2</v>
      </c>
      <c r="M19" s="10">
        <f t="shared" si="45"/>
        <v>3.229790855184362E-2</v>
      </c>
      <c r="N19" s="10">
        <f t="shared" si="46"/>
        <v>3.229790855184362E-2</v>
      </c>
      <c r="O19" s="10">
        <f t="shared" si="47"/>
        <v>3.229790855184362E-2</v>
      </c>
      <c r="P19" s="10">
        <f t="shared" si="48"/>
        <v>3.229790855184362E-2</v>
      </c>
      <c r="Q19" s="10">
        <f t="shared" si="49"/>
        <v>3.229790855184362E-2</v>
      </c>
      <c r="R19" s="10">
        <f t="shared" si="50"/>
        <v>3.229790855184362E-2</v>
      </c>
      <c r="S19" s="10">
        <f t="shared" si="51"/>
        <v>3.229790855184362E-2</v>
      </c>
      <c r="T19" s="10">
        <f t="shared" si="52"/>
        <v>3.229790855184362E-2</v>
      </c>
      <c r="U19" s="10">
        <f t="shared" si="53"/>
        <v>3.229790855184362E-2</v>
      </c>
      <c r="V19" s="10">
        <f t="shared" si="54"/>
        <v>3.229790855184362E-2</v>
      </c>
      <c r="W19" s="10">
        <f t="shared" si="55"/>
        <v>3.229790855184362E-2</v>
      </c>
      <c r="X19" s="10">
        <f t="shared" si="56"/>
        <v>3.229790855184362E-2</v>
      </c>
    </row>
    <row r="20" spans="1:25" x14ac:dyDescent="0.2">
      <c r="A20" s="8" t="s">
        <v>26</v>
      </c>
      <c r="B20" s="8"/>
      <c r="C20" s="8"/>
      <c r="D20" s="8"/>
      <c r="E20" s="10">
        <v>1.04E-2</v>
      </c>
      <c r="F20" s="10">
        <f t="shared" si="38"/>
        <v>1.04E-2</v>
      </c>
      <c r="G20" s="10">
        <f t="shared" si="39"/>
        <v>1.04E-2</v>
      </c>
      <c r="H20" s="10">
        <f t="shared" si="40"/>
        <v>1.04E-2</v>
      </c>
      <c r="I20" s="10">
        <f t="shared" si="41"/>
        <v>1.04E-2</v>
      </c>
      <c r="J20" s="10">
        <f t="shared" si="42"/>
        <v>1.04E-2</v>
      </c>
      <c r="K20" s="10">
        <f t="shared" si="43"/>
        <v>1.04E-2</v>
      </c>
      <c r="L20" s="10">
        <f t="shared" si="44"/>
        <v>1.04E-2</v>
      </c>
      <c r="M20" s="10">
        <f t="shared" si="45"/>
        <v>1.04E-2</v>
      </c>
      <c r="N20" s="10">
        <f t="shared" si="46"/>
        <v>1.04E-2</v>
      </c>
      <c r="O20" s="10">
        <f t="shared" si="47"/>
        <v>1.04E-2</v>
      </c>
      <c r="P20" s="10">
        <f t="shared" si="48"/>
        <v>1.04E-2</v>
      </c>
      <c r="Q20" s="10">
        <f t="shared" si="49"/>
        <v>1.04E-2</v>
      </c>
      <c r="R20" s="10">
        <f t="shared" si="50"/>
        <v>1.04E-2</v>
      </c>
      <c r="S20" s="10">
        <f t="shared" si="51"/>
        <v>1.04E-2</v>
      </c>
      <c r="T20" s="10">
        <f t="shared" si="52"/>
        <v>1.04E-2</v>
      </c>
      <c r="U20" s="10">
        <f t="shared" si="53"/>
        <v>1.04E-2</v>
      </c>
      <c r="V20" s="10">
        <f t="shared" si="54"/>
        <v>1.04E-2</v>
      </c>
      <c r="W20" s="10">
        <f t="shared" si="55"/>
        <v>1.04E-2</v>
      </c>
      <c r="X20" s="10">
        <f t="shared" si="56"/>
        <v>1.04E-2</v>
      </c>
    </row>
    <row r="21" spans="1:25" x14ac:dyDescent="0.2">
      <c r="A21" s="8"/>
      <c r="B21" s="8"/>
      <c r="C21" s="8"/>
      <c r="D21" s="8"/>
      <c r="E21" s="11"/>
      <c r="F21" s="11"/>
      <c r="G21" s="11"/>
    </row>
    <row r="22" spans="1:25" s="215" customFormat="1" x14ac:dyDescent="0.2">
      <c r="A22" s="6" t="s">
        <v>125</v>
      </c>
      <c r="B22" s="160"/>
      <c r="C22" s="160"/>
      <c r="D22" s="160"/>
      <c r="E22" s="160"/>
      <c r="F22" s="160"/>
      <c r="G22" s="160"/>
      <c r="H22" s="160"/>
      <c r="I22" s="160"/>
      <c r="J22" s="160"/>
      <c r="K22" s="160"/>
      <c r="L22" s="160"/>
      <c r="M22" s="160"/>
      <c r="N22" s="214"/>
      <c r="O22" s="214"/>
      <c r="P22" s="214"/>
      <c r="Q22" s="214"/>
      <c r="R22" s="214"/>
      <c r="S22" s="214"/>
      <c r="T22" s="214"/>
      <c r="U22" s="214"/>
      <c r="V22" s="214"/>
      <c r="W22" s="213"/>
      <c r="X22" s="213"/>
    </row>
    <row r="23" spans="1:25" s="13" customFormat="1" x14ac:dyDescent="0.2">
      <c r="A23" s="12"/>
      <c r="E23" s="18"/>
      <c r="F23" s="18"/>
      <c r="G23" s="18"/>
      <c r="H23" s="18"/>
      <c r="I23" s="18"/>
      <c r="J23" s="18"/>
      <c r="K23" s="18"/>
      <c r="L23" s="18"/>
      <c r="M23" s="18"/>
      <c r="N23" s="18"/>
      <c r="O23" s="18"/>
      <c r="P23" s="18"/>
      <c r="Q23" s="18"/>
      <c r="R23" s="18"/>
      <c r="S23" s="18"/>
      <c r="T23" s="18"/>
    </row>
    <row r="24" spans="1:25" s="13" customFormat="1" x14ac:dyDescent="0.2">
      <c r="A24" s="199" t="s">
        <v>295</v>
      </c>
      <c r="B24" s="96"/>
      <c r="C24" s="96"/>
      <c r="D24" s="96"/>
      <c r="E24" s="96" t="s">
        <v>294</v>
      </c>
      <c r="F24" s="172" t="s">
        <v>236</v>
      </c>
      <c r="G24" s="173"/>
      <c r="H24" s="197"/>
      <c r="I24" s="173"/>
      <c r="J24" s="197"/>
      <c r="L24" s="198"/>
      <c r="M24" s="198"/>
      <c r="N24" s="198"/>
      <c r="O24" s="198"/>
      <c r="P24" s="198"/>
      <c r="Q24" s="198"/>
      <c r="R24" s="198"/>
      <c r="S24" s="198"/>
      <c r="T24" s="198"/>
      <c r="U24" s="198"/>
      <c r="V24" s="198"/>
      <c r="W24" s="198"/>
      <c r="X24" s="198"/>
      <c r="Y24" s="2"/>
    </row>
    <row r="25" spans="1:25" x14ac:dyDescent="0.2">
      <c r="A25" s="167" t="s">
        <v>242</v>
      </c>
      <c r="B25" s="167"/>
      <c r="C25" s="167"/>
      <c r="D25" s="167"/>
      <c r="E25" s="235">
        <f>SUM(LTP20Cost!B10:F10)</f>
        <v>1743.7</v>
      </c>
      <c r="F25" s="240">
        <f>SUM(LTP20Cost!G10:U10)</f>
        <v>444.00000000000011</v>
      </c>
      <c r="H25" s="230"/>
      <c r="J25" s="231"/>
      <c r="L25" s="2"/>
      <c r="M25" s="2"/>
      <c r="N25" s="2"/>
      <c r="O25" s="2"/>
      <c r="P25" s="2"/>
      <c r="Q25" s="2"/>
      <c r="R25" s="2"/>
      <c r="S25" s="2"/>
      <c r="T25" s="2"/>
      <c r="U25" s="2"/>
      <c r="V25" s="2"/>
      <c r="W25" s="2"/>
      <c r="X25" s="2"/>
      <c r="Y25" s="2"/>
    </row>
    <row r="26" spans="1:25" x14ac:dyDescent="0.2">
      <c r="A26" s="167" t="s">
        <v>126</v>
      </c>
      <c r="B26" s="167"/>
      <c r="C26" s="167"/>
      <c r="D26" s="167"/>
      <c r="E26" s="239">
        <v>0</v>
      </c>
      <c r="F26" s="239">
        <v>0</v>
      </c>
      <c r="G26" s="13"/>
      <c r="H26" s="232"/>
      <c r="I26" s="13"/>
      <c r="J26" s="233"/>
      <c r="L26" s="2"/>
      <c r="M26" s="2"/>
      <c r="N26" s="2"/>
      <c r="O26" s="2"/>
      <c r="P26" s="2"/>
      <c r="Q26" s="2"/>
      <c r="R26" s="2"/>
      <c r="S26" s="2"/>
      <c r="T26" s="2"/>
      <c r="U26" s="2"/>
      <c r="V26" s="2"/>
      <c r="W26" s="2"/>
      <c r="X26" s="2"/>
      <c r="Y26" s="2"/>
    </row>
    <row r="27" spans="1:25" x14ac:dyDescent="0.2">
      <c r="A27" s="167" t="s">
        <v>243</v>
      </c>
      <c r="B27" s="167"/>
      <c r="C27" s="167"/>
      <c r="D27" s="167"/>
      <c r="E27" s="1">
        <f>E25*(1+E26)</f>
        <v>1743.7</v>
      </c>
      <c r="F27" s="234">
        <f>F25*(1+F26)</f>
        <v>444.00000000000011</v>
      </c>
      <c r="H27" s="230"/>
      <c r="J27" s="231"/>
      <c r="L27" s="2"/>
      <c r="M27" s="2"/>
      <c r="N27" s="2"/>
      <c r="O27" s="2"/>
      <c r="P27" s="2"/>
      <c r="Q27" s="2"/>
      <c r="R27" s="2"/>
      <c r="S27" s="2"/>
      <c r="T27" s="2"/>
      <c r="U27" s="2"/>
      <c r="V27" s="2"/>
      <c r="W27" s="2"/>
      <c r="X27" s="2"/>
      <c r="Y27" s="2"/>
    </row>
    <row r="28" spans="1:25" x14ac:dyDescent="0.2">
      <c r="B28" s="8"/>
      <c r="C28" s="8"/>
      <c r="D28" s="8"/>
      <c r="E28" s="238"/>
      <c r="F28" s="20"/>
      <c r="G28" s="20"/>
      <c r="H28" s="20"/>
      <c r="I28" s="20"/>
      <c r="J28" s="20"/>
      <c r="K28" s="20"/>
      <c r="L28" s="20"/>
      <c r="M28" s="20"/>
      <c r="N28" s="20"/>
      <c r="O28" s="20"/>
      <c r="P28" s="20"/>
      <c r="Q28" s="20"/>
      <c r="R28" s="20"/>
      <c r="S28" s="20"/>
      <c r="T28" s="20"/>
      <c r="U28" s="20"/>
      <c r="V28" s="20"/>
    </row>
    <row r="29" spans="1:25" s="215" customFormat="1" x14ac:dyDescent="0.2">
      <c r="A29" s="6" t="s">
        <v>220</v>
      </c>
      <c r="B29" s="160"/>
      <c r="C29" s="160"/>
      <c r="D29" s="160"/>
      <c r="E29" s="160"/>
      <c r="F29" s="160"/>
      <c r="G29" s="160"/>
      <c r="H29" s="160"/>
      <c r="I29" s="160"/>
      <c r="J29" s="160"/>
      <c r="K29" s="160"/>
      <c r="L29" s="160"/>
      <c r="M29" s="160"/>
      <c r="N29" s="214"/>
      <c r="O29" s="214"/>
      <c r="P29" s="214"/>
      <c r="Q29" s="214"/>
      <c r="R29" s="214"/>
      <c r="S29" s="214"/>
      <c r="T29" s="214"/>
      <c r="U29" s="214"/>
      <c r="V29" s="214"/>
      <c r="W29" s="213"/>
      <c r="X29" s="213"/>
    </row>
    <row r="30" spans="1:25" s="13" customFormat="1" x14ac:dyDescent="0.2">
      <c r="A30" s="12"/>
      <c r="E30" s="18"/>
      <c r="F30" s="254"/>
      <c r="G30" s="254"/>
      <c r="H30" s="254"/>
      <c r="I30" s="254"/>
      <c r="J30" s="254"/>
      <c r="K30" s="254"/>
      <c r="L30" s="254"/>
      <c r="M30" s="254"/>
      <c r="N30" s="254"/>
      <c r="O30" s="254"/>
      <c r="P30" s="254"/>
      <c r="Q30" s="254"/>
      <c r="R30" s="254"/>
      <c r="S30" s="254"/>
      <c r="T30" s="254"/>
      <c r="U30" s="255"/>
      <c r="V30" s="255"/>
      <c r="W30" s="255"/>
      <c r="X30" s="255"/>
    </row>
    <row r="31" spans="1:25" x14ac:dyDescent="0.2">
      <c r="A31" s="73" t="s">
        <v>21</v>
      </c>
      <c r="B31" s="74"/>
      <c r="C31" s="74"/>
      <c r="D31" s="74"/>
      <c r="E31" s="75">
        <f>E10</f>
        <v>2020</v>
      </c>
      <c r="F31" s="75">
        <f t="shared" ref="F31:S31" si="57">E31+1</f>
        <v>2021</v>
      </c>
      <c r="G31" s="75">
        <f t="shared" si="57"/>
        <v>2022</v>
      </c>
      <c r="H31" s="75">
        <f t="shared" si="57"/>
        <v>2023</v>
      </c>
      <c r="I31" s="75">
        <f t="shared" si="57"/>
        <v>2024</v>
      </c>
      <c r="J31" s="75">
        <f t="shared" si="57"/>
        <v>2025</v>
      </c>
      <c r="K31" s="75">
        <f t="shared" si="57"/>
        <v>2026</v>
      </c>
      <c r="L31" s="75">
        <f t="shared" si="57"/>
        <v>2027</v>
      </c>
      <c r="M31" s="75">
        <f t="shared" si="57"/>
        <v>2028</v>
      </c>
      <c r="N31" s="75">
        <f t="shared" si="57"/>
        <v>2029</v>
      </c>
      <c r="O31" s="75">
        <f t="shared" si="57"/>
        <v>2030</v>
      </c>
      <c r="P31" s="75">
        <f t="shared" si="57"/>
        <v>2031</v>
      </c>
      <c r="Q31" s="75">
        <f t="shared" si="57"/>
        <v>2032</v>
      </c>
      <c r="R31" s="75">
        <f t="shared" si="57"/>
        <v>2033</v>
      </c>
      <c r="S31" s="75">
        <f t="shared" si="57"/>
        <v>2034</v>
      </c>
      <c r="T31" s="75">
        <f t="shared" ref="T31" si="58">S31+1</f>
        <v>2035</v>
      </c>
      <c r="U31" s="75">
        <f t="shared" ref="U31" si="59">T31+1</f>
        <v>2036</v>
      </c>
      <c r="V31" s="75">
        <f t="shared" ref="V31" si="60">U31+1</f>
        <v>2037</v>
      </c>
      <c r="W31" s="75">
        <f t="shared" ref="W31" si="61">V31+1</f>
        <v>2038</v>
      </c>
      <c r="X31" s="75">
        <f t="shared" ref="X31" si="62">W31+1</f>
        <v>2039</v>
      </c>
    </row>
    <row r="32" spans="1:25" x14ac:dyDescent="0.2">
      <c r="A32" s="8" t="s">
        <v>239</v>
      </c>
      <c r="B32" s="74"/>
      <c r="C32" s="74"/>
      <c r="D32" s="74"/>
      <c r="E32" s="121">
        <v>63161</v>
      </c>
      <c r="F32" s="121">
        <v>65271</v>
      </c>
      <c r="G32" s="121">
        <v>65137</v>
      </c>
      <c r="H32" s="121">
        <v>65432</v>
      </c>
      <c r="I32" s="121">
        <v>65467</v>
      </c>
      <c r="J32" s="121">
        <v>65980</v>
      </c>
      <c r="K32" s="121">
        <v>66742</v>
      </c>
      <c r="L32" s="121">
        <v>67118</v>
      </c>
      <c r="M32" s="121">
        <v>67921</v>
      </c>
      <c r="N32" s="121">
        <v>68378</v>
      </c>
      <c r="O32" s="121">
        <v>68706</v>
      </c>
      <c r="P32" s="121">
        <v>69782</v>
      </c>
      <c r="Q32" s="1">
        <v>70964</v>
      </c>
      <c r="R32" s="1">
        <v>71789</v>
      </c>
      <c r="S32" s="1">
        <v>72976</v>
      </c>
      <c r="T32" s="1">
        <v>73647</v>
      </c>
      <c r="U32" s="1">
        <v>74552</v>
      </c>
      <c r="V32" s="1">
        <v>74939</v>
      </c>
      <c r="W32" s="1">
        <v>75777</v>
      </c>
      <c r="X32" s="1">
        <v>76344</v>
      </c>
    </row>
    <row r="33" spans="1:24" x14ac:dyDescent="0.2">
      <c r="A33" s="8" t="s">
        <v>206</v>
      </c>
      <c r="B33" s="74"/>
      <c r="C33" s="74"/>
      <c r="D33" s="74"/>
      <c r="E33" s="122" t="s">
        <v>7</v>
      </c>
      <c r="F33" s="122">
        <f t="shared" ref="F33:R33" si="63">(F32-E32)/E32</f>
        <v>3.3406690837700481E-2</v>
      </c>
      <c r="G33" s="122">
        <f t="shared" si="63"/>
        <v>-2.0529791178318089E-3</v>
      </c>
      <c r="H33" s="122">
        <f t="shared" si="63"/>
        <v>4.528915977094432E-3</v>
      </c>
      <c r="I33" s="122">
        <f t="shared" si="63"/>
        <v>5.3490646778334757E-4</v>
      </c>
      <c r="J33" s="122">
        <f t="shared" si="63"/>
        <v>7.8360089816243306E-3</v>
      </c>
      <c r="K33" s="122">
        <f t="shared" si="63"/>
        <v>1.1548954228554108E-2</v>
      </c>
      <c r="L33" s="122">
        <f t="shared" si="63"/>
        <v>5.6336339935872462E-3</v>
      </c>
      <c r="M33" s="122">
        <f t="shared" si="63"/>
        <v>1.1964003694984952E-2</v>
      </c>
      <c r="N33" s="122">
        <f t="shared" si="63"/>
        <v>6.7284050588183328E-3</v>
      </c>
      <c r="O33" s="122">
        <f t="shared" si="63"/>
        <v>4.7968644885781975E-3</v>
      </c>
      <c r="P33" s="122">
        <f t="shared" si="63"/>
        <v>1.5660932087445057E-2</v>
      </c>
      <c r="Q33" s="122">
        <f t="shared" si="63"/>
        <v>1.6938465506864234E-2</v>
      </c>
      <c r="R33" s="122">
        <f t="shared" si="63"/>
        <v>1.162561298686658E-2</v>
      </c>
      <c r="S33" s="228">
        <f>R33</f>
        <v>1.162561298686658E-2</v>
      </c>
      <c r="T33" s="228">
        <f>S33</f>
        <v>1.162561298686658E-2</v>
      </c>
      <c r="U33" s="228">
        <f t="shared" ref="U33:V33" si="64">T33</f>
        <v>1.162561298686658E-2</v>
      </c>
      <c r="V33" s="228">
        <f t="shared" si="64"/>
        <v>1.162561298686658E-2</v>
      </c>
      <c r="W33" s="228">
        <f t="shared" ref="W33" si="65">V33</f>
        <v>1.162561298686658E-2</v>
      </c>
      <c r="X33" s="228">
        <f t="shared" ref="X33" si="66">W33</f>
        <v>1.162561298686658E-2</v>
      </c>
    </row>
    <row r="34" spans="1:24" x14ac:dyDescent="0.2">
      <c r="A34" s="17" t="s">
        <v>124</v>
      </c>
      <c r="B34" s="17"/>
      <c r="C34" s="17"/>
      <c r="D34" s="200">
        <v>0</v>
      </c>
      <c r="E34" s="122">
        <f>$D34</f>
        <v>0</v>
      </c>
      <c r="F34" s="122">
        <f t="shared" ref="F34:X34" si="67">$D34</f>
        <v>0</v>
      </c>
      <c r="G34" s="122">
        <f t="shared" si="67"/>
        <v>0</v>
      </c>
      <c r="H34" s="122">
        <f t="shared" si="67"/>
        <v>0</v>
      </c>
      <c r="I34" s="122">
        <f t="shared" si="67"/>
        <v>0</v>
      </c>
      <c r="J34" s="122">
        <f t="shared" si="67"/>
        <v>0</v>
      </c>
      <c r="K34" s="122">
        <f t="shared" si="67"/>
        <v>0</v>
      </c>
      <c r="L34" s="122">
        <f t="shared" si="67"/>
        <v>0</v>
      </c>
      <c r="M34" s="122">
        <f t="shared" si="67"/>
        <v>0</v>
      </c>
      <c r="N34" s="122">
        <f t="shared" si="67"/>
        <v>0</v>
      </c>
      <c r="O34" s="122">
        <f t="shared" si="67"/>
        <v>0</v>
      </c>
      <c r="P34" s="122">
        <f t="shared" si="67"/>
        <v>0</v>
      </c>
      <c r="Q34" s="122">
        <f t="shared" si="67"/>
        <v>0</v>
      </c>
      <c r="R34" s="122">
        <f t="shared" si="67"/>
        <v>0</v>
      </c>
      <c r="S34" s="122">
        <f t="shared" si="67"/>
        <v>0</v>
      </c>
      <c r="T34" s="122">
        <f t="shared" si="67"/>
        <v>0</v>
      </c>
      <c r="U34" s="122">
        <f t="shared" si="67"/>
        <v>0</v>
      </c>
      <c r="V34" s="122">
        <f t="shared" si="67"/>
        <v>0</v>
      </c>
      <c r="W34" s="122">
        <f t="shared" si="67"/>
        <v>0</v>
      </c>
      <c r="X34" s="122">
        <f t="shared" si="67"/>
        <v>0</v>
      </c>
    </row>
    <row r="35" spans="1:24" x14ac:dyDescent="0.2">
      <c r="A35" s="8" t="s">
        <v>105</v>
      </c>
      <c r="B35" s="8"/>
      <c r="C35" s="8"/>
      <c r="D35" s="8"/>
      <c r="E35" s="123">
        <f>E32*(100%+E34)</f>
        <v>63161</v>
      </c>
      <c r="F35" s="123">
        <f t="shared" ref="F35:V35" si="68">F32*(100%+F34)</f>
        <v>65271</v>
      </c>
      <c r="G35" s="123">
        <f t="shared" si="68"/>
        <v>65137</v>
      </c>
      <c r="H35" s="123">
        <f t="shared" si="68"/>
        <v>65432</v>
      </c>
      <c r="I35" s="123">
        <f t="shared" si="68"/>
        <v>65467</v>
      </c>
      <c r="J35" s="123">
        <f t="shared" si="68"/>
        <v>65980</v>
      </c>
      <c r="K35" s="123">
        <f t="shared" si="68"/>
        <v>66742</v>
      </c>
      <c r="L35" s="123">
        <f t="shared" si="68"/>
        <v>67118</v>
      </c>
      <c r="M35" s="123">
        <f t="shared" si="68"/>
        <v>67921</v>
      </c>
      <c r="N35" s="123">
        <f t="shared" si="68"/>
        <v>68378</v>
      </c>
      <c r="O35" s="123">
        <f t="shared" si="68"/>
        <v>68706</v>
      </c>
      <c r="P35" s="123">
        <f t="shared" si="68"/>
        <v>69782</v>
      </c>
      <c r="Q35" s="123">
        <f t="shared" si="68"/>
        <v>70964</v>
      </c>
      <c r="R35" s="123">
        <f t="shared" si="68"/>
        <v>71789</v>
      </c>
      <c r="S35" s="123">
        <f t="shared" si="68"/>
        <v>72976</v>
      </c>
      <c r="T35" s="123">
        <f t="shared" si="68"/>
        <v>73647</v>
      </c>
      <c r="U35" s="123">
        <f t="shared" si="68"/>
        <v>74552</v>
      </c>
      <c r="V35" s="123">
        <f t="shared" si="68"/>
        <v>74939</v>
      </c>
      <c r="W35" s="123">
        <f t="shared" ref="W35:X35" si="69">W32*(100%+W34)</f>
        <v>75777</v>
      </c>
      <c r="X35" s="123">
        <f t="shared" si="69"/>
        <v>76344</v>
      </c>
    </row>
    <row r="36" spans="1:24" x14ac:dyDescent="0.2">
      <c r="A36" s="8"/>
      <c r="B36" s="8"/>
      <c r="C36" s="8"/>
      <c r="D36" s="8"/>
      <c r="E36" s="19"/>
      <c r="F36" s="19"/>
      <c r="G36" s="19"/>
      <c r="H36" s="19"/>
      <c r="I36" s="19"/>
      <c r="J36" s="19"/>
      <c r="K36" s="19"/>
      <c r="L36" s="19"/>
      <c r="M36" s="19"/>
      <c r="N36" s="19"/>
      <c r="O36" s="19"/>
      <c r="P36" s="19"/>
      <c r="Q36" s="19"/>
      <c r="R36" s="19"/>
    </row>
    <row r="37" spans="1:24" s="215" customFormat="1" x14ac:dyDescent="0.2">
      <c r="A37" s="6" t="s">
        <v>318</v>
      </c>
      <c r="B37" s="160"/>
      <c r="C37" s="160"/>
      <c r="D37" s="160"/>
      <c r="E37" s="160"/>
      <c r="F37" s="160"/>
      <c r="G37" s="160"/>
      <c r="H37" s="160"/>
      <c r="I37" s="160"/>
      <c r="J37" s="160"/>
      <c r="K37" s="160"/>
      <c r="L37" s="214"/>
      <c r="M37" s="214"/>
      <c r="N37" s="214"/>
      <c r="O37" s="214"/>
      <c r="P37" s="214"/>
      <c r="Q37" s="214"/>
      <c r="R37" s="214"/>
      <c r="S37" s="214"/>
      <c r="T37" s="214"/>
      <c r="U37" s="214"/>
      <c r="V37" s="214"/>
      <c r="W37" s="214"/>
      <c r="X37" s="214"/>
    </row>
    <row r="38" spans="1:24" s="13" customFormat="1" x14ac:dyDescent="0.2">
      <c r="A38" s="12"/>
      <c r="E38" s="18"/>
      <c r="F38" s="18"/>
      <c r="G38" s="18"/>
      <c r="H38" s="18"/>
      <c r="I38" s="18"/>
      <c r="J38" s="18"/>
      <c r="K38" s="18"/>
      <c r="L38" s="18"/>
      <c r="M38" s="18"/>
      <c r="N38" s="18"/>
      <c r="O38" s="18"/>
      <c r="P38" s="18"/>
      <c r="R38" s="347" t="s">
        <v>330</v>
      </c>
      <c r="S38" s="347"/>
      <c r="T38" s="347"/>
      <c r="U38" s="347"/>
      <c r="V38" s="347"/>
      <c r="W38" s="347"/>
      <c r="X38" s="347"/>
    </row>
    <row r="39" spans="1:24" x14ac:dyDescent="0.2">
      <c r="A39" s="73" t="s">
        <v>21</v>
      </c>
      <c r="B39" s="74"/>
      <c r="C39" s="74"/>
      <c r="D39" s="74"/>
      <c r="E39" s="75">
        <f>E31</f>
        <v>2020</v>
      </c>
      <c r="F39" s="75">
        <f t="shared" ref="F39" si="70">E39+1</f>
        <v>2021</v>
      </c>
      <c r="G39" s="75">
        <f t="shared" ref="G39" si="71">F39+1</f>
        <v>2022</v>
      </c>
      <c r="H39" s="75">
        <f t="shared" ref="H39" si="72">G39+1</f>
        <v>2023</v>
      </c>
      <c r="I39" s="75">
        <f t="shared" ref="I39" si="73">H39+1</f>
        <v>2024</v>
      </c>
      <c r="J39" s="75">
        <f t="shared" ref="J39" si="74">I39+1</f>
        <v>2025</v>
      </c>
      <c r="K39" s="75">
        <f t="shared" ref="K39" si="75">J39+1</f>
        <v>2026</v>
      </c>
      <c r="L39" s="75">
        <f t="shared" ref="L39" si="76">K39+1</f>
        <v>2027</v>
      </c>
      <c r="M39" s="75">
        <f t="shared" ref="M39" si="77">L39+1</f>
        <v>2028</v>
      </c>
      <c r="N39" s="75">
        <f t="shared" ref="N39" si="78">M39+1</f>
        <v>2029</v>
      </c>
      <c r="O39" s="75">
        <f t="shared" ref="O39" si="79">N39+1</f>
        <v>2030</v>
      </c>
      <c r="P39" s="75">
        <f t="shared" ref="P39" si="80">O39+1</f>
        <v>2031</v>
      </c>
      <c r="Q39" s="75">
        <f t="shared" ref="Q39" si="81">P39+1</f>
        <v>2032</v>
      </c>
      <c r="R39" s="253">
        <f t="shared" ref="R39" si="82">Q39+1</f>
        <v>2033</v>
      </c>
      <c r="S39" s="253">
        <f t="shared" ref="S39" si="83">R39+1</f>
        <v>2034</v>
      </c>
      <c r="T39" s="253">
        <f t="shared" ref="T39" si="84">S39+1</f>
        <v>2035</v>
      </c>
      <c r="U39" s="253">
        <f t="shared" ref="U39" si="85">T39+1</f>
        <v>2036</v>
      </c>
      <c r="V39" s="253">
        <f t="shared" ref="V39" si="86">U39+1</f>
        <v>2037</v>
      </c>
      <c r="W39" s="253">
        <f t="shared" ref="W39" si="87">V39+1</f>
        <v>2038</v>
      </c>
      <c r="X39" s="253">
        <f t="shared" ref="X39" si="88">W39+1</f>
        <v>2039</v>
      </c>
    </row>
    <row r="40" spans="1:24" x14ac:dyDescent="0.2">
      <c r="A40" s="8" t="s">
        <v>101</v>
      </c>
      <c r="B40" s="8"/>
      <c r="C40" s="8"/>
      <c r="D40" s="8"/>
      <c r="E40" s="130">
        <v>58.45</v>
      </c>
      <c r="F40" s="130">
        <v>57.082358995434241</v>
      </c>
      <c r="G40" s="130">
        <v>59.007746347032139</v>
      </c>
      <c r="H40" s="130">
        <v>63.880236826483831</v>
      </c>
      <c r="I40" s="130">
        <v>67.136968055555627</v>
      </c>
      <c r="J40" s="130">
        <v>68.159611415525333</v>
      </c>
      <c r="K40" s="130">
        <v>72.161328036529753</v>
      </c>
      <c r="L40" s="130">
        <v>75.819319155251108</v>
      </c>
      <c r="M40" s="256">
        <v>77.387131079234877</v>
      </c>
      <c r="N40" s="130">
        <v>79.962434634703428</v>
      </c>
      <c r="O40" s="256">
        <v>82.322019840182492</v>
      </c>
      <c r="P40" s="130">
        <v>85.979368127853874</v>
      </c>
      <c r="Q40" s="181">
        <v>87.764296015482685</v>
      </c>
      <c r="R40" s="181">
        <v>89.922891095890293</v>
      </c>
      <c r="S40" s="257">
        <v>91.798232488584389</v>
      </c>
      <c r="T40" s="258">
        <v>93.652717292859492</v>
      </c>
      <c r="U40" s="258">
        <v>95.544731505229748</v>
      </c>
      <c r="V40" s="258">
        <v>97.47490737573618</v>
      </c>
      <c r="W40" s="166">
        <v>99.444163456325185</v>
      </c>
      <c r="X40" s="166">
        <v>101.45308428005356</v>
      </c>
    </row>
    <row r="41" spans="1:24" x14ac:dyDescent="0.2">
      <c r="A41" s="17" t="s">
        <v>107</v>
      </c>
      <c r="B41" s="17"/>
      <c r="C41" s="17"/>
      <c r="D41" s="200">
        <v>0</v>
      </c>
      <c r="E41" s="131">
        <f t="shared" ref="E41:X41" si="89">$D41</f>
        <v>0</v>
      </c>
      <c r="F41" s="131">
        <f t="shared" si="89"/>
        <v>0</v>
      </c>
      <c r="G41" s="131">
        <f t="shared" si="89"/>
        <v>0</v>
      </c>
      <c r="H41" s="131">
        <f t="shared" si="89"/>
        <v>0</v>
      </c>
      <c r="I41" s="131">
        <f t="shared" si="89"/>
        <v>0</v>
      </c>
      <c r="J41" s="131">
        <f t="shared" si="89"/>
        <v>0</v>
      </c>
      <c r="K41" s="131">
        <f t="shared" si="89"/>
        <v>0</v>
      </c>
      <c r="L41" s="131">
        <f t="shared" si="89"/>
        <v>0</v>
      </c>
      <c r="M41" s="131">
        <f t="shared" si="89"/>
        <v>0</v>
      </c>
      <c r="N41" s="131">
        <f t="shared" si="89"/>
        <v>0</v>
      </c>
      <c r="O41" s="131">
        <f t="shared" si="89"/>
        <v>0</v>
      </c>
      <c r="P41" s="131">
        <f t="shared" si="89"/>
        <v>0</v>
      </c>
      <c r="Q41" s="131">
        <f t="shared" si="89"/>
        <v>0</v>
      </c>
      <c r="R41" s="131">
        <f t="shared" si="89"/>
        <v>0</v>
      </c>
      <c r="S41" s="227">
        <f t="shared" si="89"/>
        <v>0</v>
      </c>
      <c r="T41" s="227">
        <f t="shared" si="89"/>
        <v>0</v>
      </c>
      <c r="U41" s="227">
        <f t="shared" si="89"/>
        <v>0</v>
      </c>
      <c r="V41" s="227">
        <f t="shared" si="89"/>
        <v>0</v>
      </c>
      <c r="W41" s="227">
        <f t="shared" si="89"/>
        <v>0</v>
      </c>
      <c r="X41" s="227">
        <f t="shared" si="89"/>
        <v>0</v>
      </c>
    </row>
    <row r="42" spans="1:24" x14ac:dyDescent="0.2">
      <c r="A42" s="8" t="s">
        <v>108</v>
      </c>
      <c r="B42" s="8"/>
      <c r="C42" s="8"/>
      <c r="D42" s="8"/>
      <c r="E42" s="130">
        <f t="shared" ref="E42:V42" si="90">E40*(100%+E41)</f>
        <v>58.45</v>
      </c>
      <c r="F42" s="130">
        <f t="shared" si="90"/>
        <v>57.082358995434241</v>
      </c>
      <c r="G42" s="130">
        <f t="shared" si="90"/>
        <v>59.007746347032139</v>
      </c>
      <c r="H42" s="130">
        <f t="shared" si="90"/>
        <v>63.880236826483831</v>
      </c>
      <c r="I42" s="130">
        <f t="shared" si="90"/>
        <v>67.136968055555627</v>
      </c>
      <c r="J42" s="130">
        <f t="shared" si="90"/>
        <v>68.159611415525333</v>
      </c>
      <c r="K42" s="130">
        <f t="shared" si="90"/>
        <v>72.161328036529753</v>
      </c>
      <c r="L42" s="130">
        <f t="shared" si="90"/>
        <v>75.819319155251108</v>
      </c>
      <c r="M42" s="130">
        <f t="shared" si="90"/>
        <v>77.387131079234877</v>
      </c>
      <c r="N42" s="130">
        <f t="shared" si="90"/>
        <v>79.962434634703428</v>
      </c>
      <c r="O42" s="130">
        <f t="shared" si="90"/>
        <v>82.322019840182492</v>
      </c>
      <c r="P42" s="130">
        <f t="shared" si="90"/>
        <v>85.979368127853874</v>
      </c>
      <c r="Q42" s="130">
        <f t="shared" si="90"/>
        <v>87.764296015482685</v>
      </c>
      <c r="R42" s="130">
        <f t="shared" si="90"/>
        <v>89.922891095890293</v>
      </c>
      <c r="S42" s="130">
        <f t="shared" si="90"/>
        <v>91.798232488584389</v>
      </c>
      <c r="T42" s="130">
        <f t="shared" si="90"/>
        <v>93.652717292859492</v>
      </c>
      <c r="U42" s="130">
        <f t="shared" si="90"/>
        <v>95.544731505229748</v>
      </c>
      <c r="V42" s="130">
        <f t="shared" si="90"/>
        <v>97.47490737573618</v>
      </c>
      <c r="W42" s="130">
        <f t="shared" ref="W42:X42" si="91">W40*(100%+W41)</f>
        <v>99.444163456325185</v>
      </c>
      <c r="X42" s="130">
        <f t="shared" si="91"/>
        <v>101.45308428005356</v>
      </c>
    </row>
    <row r="43" spans="1:24" s="13" customFormat="1" x14ac:dyDescent="0.2">
      <c r="A43" s="12"/>
      <c r="E43" s="18"/>
      <c r="F43" s="18"/>
      <c r="G43" s="18"/>
      <c r="H43" s="18"/>
      <c r="I43" s="18"/>
      <c r="J43" s="18"/>
      <c r="K43" s="18"/>
      <c r="L43" s="18"/>
      <c r="M43" s="18"/>
      <c r="N43" s="18"/>
    </row>
    <row r="44" spans="1:24" x14ac:dyDescent="0.2">
      <c r="A44" s="73" t="s">
        <v>132</v>
      </c>
      <c r="B44" s="74"/>
      <c r="C44" s="74"/>
      <c r="D44" s="13"/>
      <c r="E44" s="75">
        <f>E31</f>
        <v>2020</v>
      </c>
      <c r="F44" s="75">
        <f t="shared" ref="F44" si="92">E44+1</f>
        <v>2021</v>
      </c>
      <c r="G44" s="75">
        <f t="shared" ref="G44" si="93">F44+1</f>
        <v>2022</v>
      </c>
      <c r="H44" s="75">
        <f t="shared" ref="H44" si="94">G44+1</f>
        <v>2023</v>
      </c>
      <c r="I44" s="75">
        <f t="shared" ref="I44" si="95">H44+1</f>
        <v>2024</v>
      </c>
      <c r="J44" s="75">
        <f t="shared" ref="J44" si="96">I44+1</f>
        <v>2025</v>
      </c>
      <c r="K44" s="75">
        <f t="shared" ref="K44" si="97">J44+1</f>
        <v>2026</v>
      </c>
      <c r="L44" s="75">
        <f t="shared" ref="L44" si="98">K44+1</f>
        <v>2027</v>
      </c>
      <c r="M44" s="75">
        <f t="shared" ref="M44" si="99">L44+1</f>
        <v>2028</v>
      </c>
      <c r="N44" s="75">
        <f t="shared" ref="N44" si="100">M44+1</f>
        <v>2029</v>
      </c>
      <c r="O44" s="75">
        <f t="shared" ref="O44" si="101">N44+1</f>
        <v>2030</v>
      </c>
      <c r="P44" s="75">
        <f t="shared" ref="P44" si="102">O44+1</f>
        <v>2031</v>
      </c>
      <c r="Q44" s="75">
        <f t="shared" ref="Q44" si="103">P44+1</f>
        <v>2032</v>
      </c>
      <c r="R44" s="75">
        <f t="shared" ref="R44" si="104">Q44+1</f>
        <v>2033</v>
      </c>
      <c r="S44" s="75">
        <f t="shared" ref="S44" si="105">R44+1</f>
        <v>2034</v>
      </c>
      <c r="T44" s="75">
        <f t="shared" ref="T44" si="106">S44+1</f>
        <v>2035</v>
      </c>
      <c r="U44" s="75">
        <f t="shared" ref="U44" si="107">T44+1</f>
        <v>2036</v>
      </c>
      <c r="V44" s="75">
        <f t="shared" ref="V44" si="108">U44+1</f>
        <v>2037</v>
      </c>
      <c r="W44" s="75">
        <f t="shared" ref="W44" si="109">V44+1</f>
        <v>2038</v>
      </c>
      <c r="X44" s="75">
        <f t="shared" ref="X44" si="110">W44+1</f>
        <v>2039</v>
      </c>
    </row>
    <row r="45" spans="1:24" x14ac:dyDescent="0.2">
      <c r="A45" s="8" t="s">
        <v>133</v>
      </c>
      <c r="B45" s="8"/>
      <c r="C45" s="8"/>
      <c r="D45" s="167"/>
      <c r="E45" s="142">
        <v>0.46</v>
      </c>
      <c r="F45" s="142">
        <f t="shared" ref="F45:V45" si="111">E45*(100%+F52)</f>
        <v>0.47172206223873669</v>
      </c>
      <c r="G45" s="142">
        <f t="shared" si="111"/>
        <v>0.48396739433348823</v>
      </c>
      <c r="H45" s="142">
        <f t="shared" si="111"/>
        <v>0.49672689270784964</v>
      </c>
      <c r="I45" s="142">
        <f t="shared" si="111"/>
        <v>0.51084040873200198</v>
      </c>
      <c r="J45" s="142">
        <f t="shared" si="111"/>
        <v>0.52488889921040416</v>
      </c>
      <c r="K45" s="142">
        <f t="shared" si="111"/>
        <v>0.5380622387366466</v>
      </c>
      <c r="L45" s="142">
        <f t="shared" si="111"/>
        <v>0.55127738039944274</v>
      </c>
      <c r="M45" s="142">
        <f t="shared" si="111"/>
        <v>0.56468379006038094</v>
      </c>
      <c r="N45" s="142">
        <f t="shared" si="111"/>
        <v>0.57855058058523001</v>
      </c>
      <c r="O45" s="142">
        <f t="shared" si="111"/>
        <v>0.59299879238272191</v>
      </c>
      <c r="P45" s="142">
        <f t="shared" si="111"/>
        <v>0.60804254528564816</v>
      </c>
      <c r="Q45" s="142">
        <f t="shared" si="111"/>
        <v>0.62342823966558314</v>
      </c>
      <c r="R45" s="142">
        <f t="shared" si="111"/>
        <v>0.63918801672085479</v>
      </c>
      <c r="S45" s="142">
        <f t="shared" si="111"/>
        <v>0.65529335810496991</v>
      </c>
      <c r="T45" s="142">
        <f t="shared" si="111"/>
        <v>0.67181616349280082</v>
      </c>
      <c r="U45" s="142">
        <f t="shared" si="111"/>
        <v>0.68871778913144455</v>
      </c>
      <c r="V45" s="142">
        <f t="shared" si="111"/>
        <v>0.70597863446353926</v>
      </c>
      <c r="W45" s="142">
        <f t="shared" ref="W45:X45" si="112">V45*(100%+W52)</f>
        <v>0.72358346493265224</v>
      </c>
      <c r="X45" s="142">
        <f t="shared" si="112"/>
        <v>0.74166511843938709</v>
      </c>
    </row>
    <row r="46" spans="1:24" x14ac:dyDescent="0.2">
      <c r="B46" s="8"/>
      <c r="C46" s="8"/>
      <c r="D46" s="8"/>
      <c r="E46" s="20"/>
      <c r="F46" s="20"/>
      <c r="G46" s="20"/>
      <c r="H46" s="20"/>
      <c r="I46" s="20"/>
      <c r="J46" s="20"/>
      <c r="K46" s="20"/>
      <c r="L46" s="20"/>
      <c r="M46" s="20"/>
      <c r="N46" s="20"/>
      <c r="O46" s="20"/>
      <c r="P46" s="20"/>
      <c r="Q46" s="20"/>
      <c r="R46" s="20"/>
      <c r="S46" s="20"/>
      <c r="T46" s="20"/>
    </row>
    <row r="47" spans="1:24" s="215" customFormat="1" x14ac:dyDescent="0.2">
      <c r="A47" s="23" t="s">
        <v>317</v>
      </c>
      <c r="B47" s="212"/>
      <c r="C47" s="212"/>
      <c r="D47" s="212"/>
      <c r="E47" s="213"/>
      <c r="F47" s="213"/>
      <c r="G47" s="213"/>
      <c r="H47" s="213"/>
      <c r="I47" s="213"/>
      <c r="J47" s="213"/>
      <c r="K47" s="213"/>
      <c r="L47" s="213"/>
      <c r="M47" s="213"/>
      <c r="N47" s="213"/>
      <c r="O47" s="213"/>
      <c r="P47" s="213"/>
      <c r="Q47" s="213"/>
      <c r="R47" s="213"/>
      <c r="S47" s="213"/>
      <c r="T47" s="213"/>
      <c r="U47" s="213"/>
      <c r="V47" s="213"/>
      <c r="W47" s="213"/>
      <c r="X47" s="213"/>
    </row>
    <row r="49" spans="1:24" x14ac:dyDescent="0.2">
      <c r="A49" s="73" t="s">
        <v>118</v>
      </c>
      <c r="B49" s="74"/>
      <c r="C49" s="74"/>
      <c r="D49" s="74"/>
      <c r="E49" s="75">
        <f>E44</f>
        <v>2020</v>
      </c>
      <c r="F49" s="75">
        <f t="shared" ref="F49" si="113">E49+1</f>
        <v>2021</v>
      </c>
      <c r="G49" s="75">
        <f t="shared" ref="G49" si="114">F49+1</f>
        <v>2022</v>
      </c>
      <c r="H49" s="75">
        <f t="shared" ref="H49" si="115">G49+1</f>
        <v>2023</v>
      </c>
      <c r="I49" s="75">
        <f t="shared" ref="I49" si="116">H49+1</f>
        <v>2024</v>
      </c>
      <c r="J49" s="75">
        <f t="shared" ref="J49" si="117">I49+1</f>
        <v>2025</v>
      </c>
      <c r="K49" s="75">
        <f t="shared" ref="K49" si="118">J49+1</f>
        <v>2026</v>
      </c>
      <c r="L49" s="75">
        <f t="shared" ref="L49" si="119">K49+1</f>
        <v>2027</v>
      </c>
      <c r="M49" s="75">
        <f t="shared" ref="M49" si="120">L49+1</f>
        <v>2028</v>
      </c>
      <c r="N49" s="75">
        <f t="shared" ref="N49" si="121">M49+1</f>
        <v>2029</v>
      </c>
      <c r="O49" s="75">
        <f t="shared" ref="O49" si="122">N49+1</f>
        <v>2030</v>
      </c>
      <c r="P49" s="75">
        <f t="shared" ref="P49" si="123">O49+1</f>
        <v>2031</v>
      </c>
      <c r="Q49" s="75">
        <f t="shared" ref="Q49" si="124">P49+1</f>
        <v>2032</v>
      </c>
      <c r="R49" s="75">
        <f t="shared" ref="R49" si="125">Q49+1</f>
        <v>2033</v>
      </c>
      <c r="S49" s="75">
        <f t="shared" ref="S49" si="126">R49+1</f>
        <v>2034</v>
      </c>
      <c r="T49" s="75">
        <f t="shared" ref="T49" si="127">S49+1</f>
        <v>2035</v>
      </c>
      <c r="U49" s="75">
        <f t="shared" ref="U49" si="128">T49+1</f>
        <v>2036</v>
      </c>
      <c r="V49" s="75">
        <f t="shared" ref="V49" si="129">U49+1</f>
        <v>2037</v>
      </c>
      <c r="W49" s="75">
        <f t="shared" ref="W49" si="130">V49+1</f>
        <v>2038</v>
      </c>
      <c r="X49" s="75">
        <f t="shared" ref="X49" si="131">W49+1</f>
        <v>2039</v>
      </c>
    </row>
    <row r="50" spans="1:24" x14ac:dyDescent="0.2">
      <c r="A50" s="17" t="s">
        <v>121</v>
      </c>
      <c r="B50" s="17"/>
      <c r="C50" s="17"/>
      <c r="D50" s="17"/>
      <c r="E50" s="201">
        <v>3.2073068580681152E-2</v>
      </c>
      <c r="F50" s="201">
        <v>2.5482743997253601E-2</v>
      </c>
      <c r="G50" s="201">
        <v>2.5958786062785819E-2</v>
      </c>
      <c r="H50" s="201">
        <v>2.6364376038046092E-2</v>
      </c>
      <c r="I50" s="201">
        <v>2.8413029838618393E-2</v>
      </c>
      <c r="J50" s="201">
        <v>2.7500742381114909E-2</v>
      </c>
      <c r="K50" s="201">
        <v>2.5097386410837069E-2</v>
      </c>
      <c r="L50" s="201">
        <v>2.4560619035122928E-2</v>
      </c>
      <c r="M50" s="201">
        <v>2.4318809618534009E-2</v>
      </c>
      <c r="N50" s="201">
        <v>2.4556735590667966E-2</v>
      </c>
      <c r="O50" s="201">
        <v>2.4973117791839122E-2</v>
      </c>
      <c r="P50" s="201">
        <v>2.5368943573188561E-2</v>
      </c>
      <c r="Q50" s="195">
        <v>2.5303647745088285E-2</v>
      </c>
      <c r="R50" s="195">
        <v>2.5279215878519647E-2</v>
      </c>
      <c r="S50" s="195">
        <v>2.5196563394192469E-2</v>
      </c>
      <c r="T50" s="195">
        <v>2.5214364198063697E-2</v>
      </c>
      <c r="U50" s="195">
        <v>2.5158111038548814E-2</v>
      </c>
      <c r="V50" s="195">
        <v>2.5062290541184876E-2</v>
      </c>
      <c r="W50" s="195">
        <v>2.4936775151121277E-2</v>
      </c>
      <c r="X50" s="195">
        <v>2.4989036348996303E-2</v>
      </c>
    </row>
    <row r="51" spans="1:24" x14ac:dyDescent="0.2">
      <c r="A51" s="8" t="s">
        <v>122</v>
      </c>
      <c r="B51" s="15"/>
      <c r="C51" s="15"/>
      <c r="D51" s="202">
        <v>0</v>
      </c>
      <c r="E51" s="203">
        <f t="shared" ref="E51:X51" si="132">$D51</f>
        <v>0</v>
      </c>
      <c r="F51" s="203">
        <f t="shared" si="132"/>
        <v>0</v>
      </c>
      <c r="G51" s="203">
        <f t="shared" si="132"/>
        <v>0</v>
      </c>
      <c r="H51" s="203">
        <f t="shared" si="132"/>
        <v>0</v>
      </c>
      <c r="I51" s="203">
        <f t="shared" si="132"/>
        <v>0</v>
      </c>
      <c r="J51" s="203">
        <f t="shared" si="132"/>
        <v>0</v>
      </c>
      <c r="K51" s="203">
        <f t="shared" si="132"/>
        <v>0</v>
      </c>
      <c r="L51" s="203">
        <f t="shared" si="132"/>
        <v>0</v>
      </c>
      <c r="M51" s="203">
        <f t="shared" si="132"/>
        <v>0</v>
      </c>
      <c r="N51" s="203">
        <f t="shared" si="132"/>
        <v>0</v>
      </c>
      <c r="O51" s="203">
        <f t="shared" si="132"/>
        <v>0</v>
      </c>
      <c r="P51" s="203">
        <f t="shared" si="132"/>
        <v>0</v>
      </c>
      <c r="Q51" s="203">
        <f t="shared" si="132"/>
        <v>0</v>
      </c>
      <c r="R51" s="203">
        <f t="shared" si="132"/>
        <v>0</v>
      </c>
      <c r="S51" s="203">
        <f t="shared" si="132"/>
        <v>0</v>
      </c>
      <c r="T51" s="203">
        <f t="shared" si="132"/>
        <v>0</v>
      </c>
      <c r="U51" s="203">
        <f t="shared" si="132"/>
        <v>0</v>
      </c>
      <c r="V51" s="203">
        <f t="shared" si="132"/>
        <v>0</v>
      </c>
      <c r="W51" s="203">
        <f t="shared" si="132"/>
        <v>0</v>
      </c>
      <c r="X51" s="203">
        <f t="shared" si="132"/>
        <v>0</v>
      </c>
    </row>
    <row r="52" spans="1:24" x14ac:dyDescent="0.2">
      <c r="A52" s="17" t="s">
        <v>110</v>
      </c>
      <c r="B52" s="17"/>
      <c r="C52" s="17"/>
      <c r="D52" s="17"/>
      <c r="E52" s="201">
        <f t="shared" ref="E52:P52" si="133">SUM(E50:E51)</f>
        <v>3.2073068580681152E-2</v>
      </c>
      <c r="F52" s="201">
        <f t="shared" si="133"/>
        <v>2.5482743997253601E-2</v>
      </c>
      <c r="G52" s="201">
        <f t="shared" si="133"/>
        <v>2.5958786062785819E-2</v>
      </c>
      <c r="H52" s="201">
        <f t="shared" si="133"/>
        <v>2.6364376038046092E-2</v>
      </c>
      <c r="I52" s="201">
        <f t="shared" si="133"/>
        <v>2.8413029838618393E-2</v>
      </c>
      <c r="J52" s="201">
        <f t="shared" si="133"/>
        <v>2.7500742381114909E-2</v>
      </c>
      <c r="K52" s="201">
        <f t="shared" si="133"/>
        <v>2.5097386410837069E-2</v>
      </c>
      <c r="L52" s="201">
        <f t="shared" si="133"/>
        <v>2.4560619035122928E-2</v>
      </c>
      <c r="M52" s="201">
        <f t="shared" si="133"/>
        <v>2.4318809618534009E-2</v>
      </c>
      <c r="N52" s="201">
        <f t="shared" si="133"/>
        <v>2.4556735590667966E-2</v>
      </c>
      <c r="O52" s="201">
        <f t="shared" si="133"/>
        <v>2.4973117791839122E-2</v>
      </c>
      <c r="P52" s="201">
        <f t="shared" si="133"/>
        <v>2.5368943573188561E-2</v>
      </c>
      <c r="Q52" s="201">
        <f t="shared" ref="Q52:T52" si="134">SUM(Q50:Q51)</f>
        <v>2.5303647745088285E-2</v>
      </c>
      <c r="R52" s="201">
        <f t="shared" si="134"/>
        <v>2.5279215878519647E-2</v>
      </c>
      <c r="S52" s="201">
        <f t="shared" si="134"/>
        <v>2.5196563394192469E-2</v>
      </c>
      <c r="T52" s="201">
        <f t="shared" si="134"/>
        <v>2.5214364198063697E-2</v>
      </c>
      <c r="U52" s="201">
        <f t="shared" ref="U52:V52" si="135">SUM(U50:U51)</f>
        <v>2.5158111038548814E-2</v>
      </c>
      <c r="V52" s="201">
        <f t="shared" si="135"/>
        <v>2.5062290541184876E-2</v>
      </c>
      <c r="W52" s="201">
        <f t="shared" ref="W52:X52" si="136">SUM(W50:W51)</f>
        <v>2.4936775151121277E-2</v>
      </c>
      <c r="X52" s="201">
        <f t="shared" si="136"/>
        <v>2.4989036348996303E-2</v>
      </c>
    </row>
    <row r="53" spans="1:24" x14ac:dyDescent="0.2">
      <c r="A53" s="17" t="s">
        <v>237</v>
      </c>
      <c r="B53" s="17"/>
      <c r="C53" s="17"/>
      <c r="D53" s="17"/>
      <c r="E53" s="127" t="s">
        <v>7</v>
      </c>
      <c r="F53" s="127">
        <f>E52</f>
        <v>3.2073068580681152E-2</v>
      </c>
      <c r="G53" s="127">
        <f>(1+F53)*(1+F52)-1</f>
        <v>5.8373122373782671E-2</v>
      </c>
      <c r="H53" s="127">
        <f t="shared" ref="H53:V53" si="137">(1+G53)*(1+G52)-1</f>
        <v>8.5847203832086327E-2</v>
      </c>
      <c r="I53" s="127">
        <f t="shared" si="137"/>
        <v>0.11447488783377624</v>
      </c>
      <c r="J53" s="127">
        <f t="shared" si="137"/>
        <v>0.14614049607618829</v>
      </c>
      <c r="K53" s="127">
        <f t="shared" si="137"/>
        <v>0.17766021059134274</v>
      </c>
      <c r="L53" s="127">
        <f t="shared" si="137"/>
        <v>0.2072164039572213</v>
      </c>
      <c r="M53" s="127">
        <f t="shared" si="137"/>
        <v>0.23686638614776556</v>
      </c>
      <c r="N53" s="127">
        <f t="shared" si="137"/>
        <v>0.26694550431605735</v>
      </c>
      <c r="O53" s="127">
        <f t="shared" si="137"/>
        <v>0.29805755007333223</v>
      </c>
      <c r="P53" s="127">
        <f t="shared" si="137"/>
        <v>0.33047409417189955</v>
      </c>
      <c r="Q53" s="127">
        <f t="shared" si="137"/>
        <v>0.36422681639253551</v>
      </c>
      <c r="R53" s="127">
        <f t="shared" si="137"/>
        <v>0.39874673119893544</v>
      </c>
      <c r="S53" s="127">
        <f t="shared" si="137"/>
        <v>0.43410595177628686</v>
      </c>
      <c r="T53" s="127">
        <f t="shared" si="137"/>
        <v>0.47024049330420681</v>
      </c>
      <c r="U53" s="127">
        <f t="shared" si="137"/>
        <v>0.50731167256111998</v>
      </c>
      <c r="V53" s="127">
        <f t="shared" si="137"/>
        <v>0.54523278698911337</v>
      </c>
      <c r="W53" s="127">
        <f t="shared" ref="W53:X53" si="138">(1+V53)*(1+V52)-1</f>
        <v>0.58395986005039924</v>
      </c>
      <c r="X53" s="127">
        <f t="shared" si="138"/>
        <v>0.62345871092887761</v>
      </c>
    </row>
    <row r="54" spans="1:24" s="13" customFormat="1" x14ac:dyDescent="0.2">
      <c r="A54" s="16" t="s">
        <v>183</v>
      </c>
      <c r="B54" s="16"/>
      <c r="C54" s="16"/>
      <c r="D54" s="16"/>
      <c r="E54" s="204"/>
      <c r="F54" s="204"/>
      <c r="G54" s="204"/>
      <c r="H54" s="204"/>
      <c r="I54" s="204"/>
      <c r="J54" s="204"/>
      <c r="K54" s="204"/>
      <c r="L54" s="204"/>
      <c r="M54" s="204"/>
      <c r="N54" s="204"/>
      <c r="O54" s="204"/>
      <c r="P54" s="204"/>
      <c r="Q54" s="204"/>
      <c r="R54" s="204"/>
      <c r="S54" s="204"/>
      <c r="T54" s="204"/>
      <c r="U54" s="204"/>
    </row>
    <row r="55" spans="1:24" s="108" customFormat="1" x14ac:dyDescent="0.2">
      <c r="A55" s="108" t="s">
        <v>134</v>
      </c>
      <c r="E55" s="126"/>
      <c r="F55" s="126"/>
      <c r="G55" s="126"/>
      <c r="H55" s="126"/>
      <c r="I55" s="126"/>
      <c r="J55" s="126"/>
      <c r="K55" s="126"/>
      <c r="L55" s="126"/>
      <c r="M55" s="126"/>
      <c r="N55" s="126"/>
      <c r="O55" s="126"/>
      <c r="P55" s="126"/>
      <c r="Q55" s="126"/>
      <c r="R55" s="126"/>
      <c r="S55" s="126"/>
      <c r="T55" s="126"/>
      <c r="U55" s="126"/>
      <c r="V55" s="185"/>
      <c r="W55" s="185"/>
      <c r="X55" s="185"/>
    </row>
    <row r="56" spans="1:24" s="13" customFormat="1" x14ac:dyDescent="0.2">
      <c r="E56" s="205"/>
      <c r="F56" s="205"/>
      <c r="G56" s="205"/>
      <c r="H56" s="205"/>
      <c r="I56" s="205"/>
      <c r="J56" s="205"/>
      <c r="K56" s="205"/>
      <c r="L56" s="205"/>
      <c r="M56" s="205"/>
      <c r="N56" s="205"/>
      <c r="O56" s="205"/>
      <c r="P56" s="205"/>
      <c r="Q56" s="205"/>
      <c r="R56" s="205"/>
      <c r="S56" s="205"/>
      <c r="T56" s="205"/>
      <c r="U56" s="205"/>
    </row>
    <row r="57" spans="1:24" x14ac:dyDescent="0.2">
      <c r="A57" s="73" t="s">
        <v>119</v>
      </c>
      <c r="B57" s="74"/>
      <c r="C57" s="74"/>
      <c r="D57" s="74"/>
      <c r="E57" s="75">
        <f>E49</f>
        <v>2020</v>
      </c>
      <c r="F57" s="75">
        <f t="shared" ref="F57" si="139">E57+1</f>
        <v>2021</v>
      </c>
      <c r="G57" s="75">
        <f t="shared" ref="G57" si="140">F57+1</f>
        <v>2022</v>
      </c>
      <c r="H57" s="75">
        <f t="shared" ref="H57" si="141">G57+1</f>
        <v>2023</v>
      </c>
      <c r="I57" s="75">
        <f t="shared" ref="I57" si="142">H57+1</f>
        <v>2024</v>
      </c>
      <c r="J57" s="75">
        <f t="shared" ref="J57" si="143">I57+1</f>
        <v>2025</v>
      </c>
      <c r="K57" s="75">
        <f t="shared" ref="K57" si="144">J57+1</f>
        <v>2026</v>
      </c>
      <c r="L57" s="75">
        <f t="shared" ref="L57" si="145">K57+1</f>
        <v>2027</v>
      </c>
      <c r="M57" s="75">
        <f t="shared" ref="M57" si="146">L57+1</f>
        <v>2028</v>
      </c>
      <c r="N57" s="75">
        <f t="shared" ref="N57" si="147">M57+1</f>
        <v>2029</v>
      </c>
      <c r="O57" s="75">
        <f t="shared" ref="O57" si="148">N57+1</f>
        <v>2030</v>
      </c>
      <c r="P57" s="75">
        <f t="shared" ref="P57" si="149">O57+1</f>
        <v>2031</v>
      </c>
      <c r="Q57" s="75">
        <f t="shared" ref="Q57" si="150">P57+1</f>
        <v>2032</v>
      </c>
      <c r="R57" s="75">
        <f t="shared" ref="R57" si="151">Q57+1</f>
        <v>2033</v>
      </c>
      <c r="S57" s="75">
        <f t="shared" ref="S57" si="152">R57+1</f>
        <v>2034</v>
      </c>
      <c r="T57" s="75">
        <f t="shared" ref="T57" si="153">S57+1</f>
        <v>2035</v>
      </c>
      <c r="U57" s="75">
        <f t="shared" ref="U57" si="154">T57+1</f>
        <v>2036</v>
      </c>
      <c r="V57" s="75">
        <f t="shared" ref="V57" si="155">U57+1</f>
        <v>2037</v>
      </c>
      <c r="W57" s="75">
        <f t="shared" ref="W57" si="156">V57+1</f>
        <v>2038</v>
      </c>
      <c r="X57" s="75">
        <f t="shared" ref="X57" si="157">W57+1</f>
        <v>2039</v>
      </c>
    </row>
    <row r="58" spans="1:24" x14ac:dyDescent="0.2">
      <c r="A58" s="8" t="s">
        <v>109</v>
      </c>
      <c r="B58" s="8"/>
      <c r="C58" s="8"/>
      <c r="D58" s="8"/>
      <c r="E58" s="206">
        <v>1.8351508288412567E-2</v>
      </c>
      <c r="F58" s="206">
        <v>1.9244417008730644E-2</v>
      </c>
      <c r="G58" s="206">
        <v>1.9631425577964552E-2</v>
      </c>
      <c r="H58" s="206">
        <v>2.029024586782208E-2</v>
      </c>
      <c r="I58" s="206">
        <v>2.0278148440840107E-2</v>
      </c>
      <c r="J58" s="206">
        <v>2.0189069161346836E-2</v>
      </c>
      <c r="K58" s="206">
        <v>2.02035367196584E-2</v>
      </c>
      <c r="L58" s="206">
        <v>2.0200851038910689E-2</v>
      </c>
      <c r="M58" s="206">
        <v>2.0202658888927732E-2</v>
      </c>
      <c r="N58" s="206">
        <v>2.0201713842387229E-2</v>
      </c>
      <c r="O58" s="206">
        <v>2.020281227972516E-2</v>
      </c>
      <c r="P58" s="206">
        <v>2.0203244513104811E-2</v>
      </c>
      <c r="Q58" s="195">
        <v>2.0201661994208187E-2</v>
      </c>
      <c r="R58" s="195">
        <v>2.0201718270692535E-2</v>
      </c>
      <c r="S58" s="195">
        <v>2.0202467478765578E-2</v>
      </c>
      <c r="T58" s="195">
        <v>2.0201748486886374E-2</v>
      </c>
      <c r="U58" s="195">
        <v>2.0202448653505553E-2</v>
      </c>
      <c r="V58" s="195">
        <v>2.0201803282065726E-2</v>
      </c>
      <c r="W58" s="195">
        <v>2.0202697633741922E-2</v>
      </c>
      <c r="X58" s="195">
        <v>2.0201495531818461E-2</v>
      </c>
    </row>
    <row r="59" spans="1:24" x14ac:dyDescent="0.2">
      <c r="A59" s="8" t="s">
        <v>123</v>
      </c>
      <c r="B59" s="15"/>
      <c r="C59" s="15"/>
      <c r="D59" s="202">
        <v>0</v>
      </c>
      <c r="E59" s="128">
        <f t="shared" ref="E59:X59" si="158">$D59</f>
        <v>0</v>
      </c>
      <c r="F59" s="128">
        <f t="shared" si="158"/>
        <v>0</v>
      </c>
      <c r="G59" s="128">
        <f t="shared" si="158"/>
        <v>0</v>
      </c>
      <c r="H59" s="128">
        <f t="shared" si="158"/>
        <v>0</v>
      </c>
      <c r="I59" s="128">
        <f t="shared" si="158"/>
        <v>0</v>
      </c>
      <c r="J59" s="128">
        <f t="shared" si="158"/>
        <v>0</v>
      </c>
      <c r="K59" s="128">
        <f t="shared" si="158"/>
        <v>0</v>
      </c>
      <c r="L59" s="128">
        <f t="shared" si="158"/>
        <v>0</v>
      </c>
      <c r="M59" s="128">
        <f t="shared" si="158"/>
        <v>0</v>
      </c>
      <c r="N59" s="128">
        <f t="shared" si="158"/>
        <v>0</v>
      </c>
      <c r="O59" s="128">
        <f t="shared" si="158"/>
        <v>0</v>
      </c>
      <c r="P59" s="128">
        <f t="shared" si="158"/>
        <v>0</v>
      </c>
      <c r="Q59" s="128">
        <f t="shared" si="158"/>
        <v>0</v>
      </c>
      <c r="R59" s="128">
        <f t="shared" si="158"/>
        <v>0</v>
      </c>
      <c r="S59" s="128">
        <f t="shared" si="158"/>
        <v>0</v>
      </c>
      <c r="T59" s="128">
        <f t="shared" si="158"/>
        <v>0</v>
      </c>
      <c r="U59" s="128">
        <f t="shared" si="158"/>
        <v>0</v>
      </c>
      <c r="V59" s="128">
        <f t="shared" si="158"/>
        <v>0</v>
      </c>
      <c r="W59" s="128">
        <f t="shared" si="158"/>
        <v>0</v>
      </c>
      <c r="X59" s="128">
        <f t="shared" si="158"/>
        <v>0</v>
      </c>
    </row>
    <row r="60" spans="1:24" x14ac:dyDescent="0.2">
      <c r="A60" s="17" t="s">
        <v>111</v>
      </c>
      <c r="B60" s="17"/>
      <c r="C60" s="17"/>
      <c r="D60" s="17"/>
      <c r="E60" s="201">
        <f t="shared" ref="E60" si="159">SUM(E58:E59)</f>
        <v>1.8351508288412567E-2</v>
      </c>
      <c r="F60" s="201">
        <f t="shared" ref="F60" si="160">SUM(F58:F59)</f>
        <v>1.9244417008730644E-2</v>
      </c>
      <c r="G60" s="201">
        <f t="shared" ref="G60" si="161">SUM(G58:G59)</f>
        <v>1.9631425577964552E-2</v>
      </c>
      <c r="H60" s="201">
        <f t="shared" ref="H60" si="162">SUM(H58:H59)</f>
        <v>2.029024586782208E-2</v>
      </c>
      <c r="I60" s="201">
        <f t="shared" ref="I60" si="163">SUM(I58:I59)</f>
        <v>2.0278148440840107E-2</v>
      </c>
      <c r="J60" s="201">
        <f t="shared" ref="J60" si="164">SUM(J58:J59)</f>
        <v>2.0189069161346836E-2</v>
      </c>
      <c r="K60" s="201">
        <f t="shared" ref="K60" si="165">SUM(K58:K59)</f>
        <v>2.02035367196584E-2</v>
      </c>
      <c r="L60" s="201">
        <f t="shared" ref="L60" si="166">SUM(L58:L59)</f>
        <v>2.0200851038910689E-2</v>
      </c>
      <c r="M60" s="201">
        <f t="shared" ref="M60" si="167">SUM(M58:M59)</f>
        <v>2.0202658888927732E-2</v>
      </c>
      <c r="N60" s="201">
        <f t="shared" ref="N60" si="168">SUM(N58:N59)</f>
        <v>2.0201713842387229E-2</v>
      </c>
      <c r="O60" s="201">
        <f t="shared" ref="O60" si="169">SUM(O58:O59)</f>
        <v>2.020281227972516E-2</v>
      </c>
      <c r="P60" s="201">
        <f t="shared" ref="P60:T60" si="170">SUM(P58:P59)</f>
        <v>2.0203244513104811E-2</v>
      </c>
      <c r="Q60" s="201">
        <f t="shared" si="170"/>
        <v>2.0201661994208187E-2</v>
      </c>
      <c r="R60" s="201">
        <f t="shared" si="170"/>
        <v>2.0201718270692535E-2</v>
      </c>
      <c r="S60" s="201">
        <f t="shared" si="170"/>
        <v>2.0202467478765578E-2</v>
      </c>
      <c r="T60" s="201">
        <f t="shared" si="170"/>
        <v>2.0201748486886374E-2</v>
      </c>
      <c r="U60" s="201">
        <f t="shared" ref="U60:V60" si="171">SUM(U58:U59)</f>
        <v>2.0202448653505553E-2</v>
      </c>
      <c r="V60" s="201">
        <f t="shared" si="171"/>
        <v>2.0201803282065726E-2</v>
      </c>
      <c r="W60" s="201">
        <f t="shared" ref="W60:X60" si="172">SUM(W58:W59)</f>
        <v>2.0202697633741922E-2</v>
      </c>
      <c r="X60" s="201">
        <f t="shared" si="172"/>
        <v>2.0201495531818461E-2</v>
      </c>
    </row>
    <row r="61" spans="1:24" x14ac:dyDescent="0.2">
      <c r="A61" s="17" t="s">
        <v>238</v>
      </c>
      <c r="B61" s="17"/>
      <c r="C61" s="17"/>
      <c r="D61" s="17"/>
      <c r="E61" s="127" t="s">
        <v>7</v>
      </c>
      <c r="F61" s="127">
        <f>E60</f>
        <v>1.8351508288412567E-2</v>
      </c>
      <c r="G61" s="127">
        <f>(1+F61)*(1+F60)-1</f>
        <v>3.7949089375384659E-2</v>
      </c>
      <c r="H61" s="127">
        <f t="shared" ref="H61:V61" si="173">(1+G61)*(1+G60)-1</f>
        <v>5.8325509677173759E-2</v>
      </c>
      <c r="I61" s="127">
        <f t="shared" si="173"/>
        <v>7.9799194476711577E-2</v>
      </c>
      <c r="J61" s="127">
        <f t="shared" si="173"/>
        <v>0.10169552282860983</v>
      </c>
      <c r="K61" s="127">
        <f t="shared" si="173"/>
        <v>0.12393772993374275</v>
      </c>
      <c r="L61" s="127">
        <f t="shared" si="173"/>
        <v>0.14664524713106863</v>
      </c>
      <c r="M61" s="127">
        <f t="shared" si="173"/>
        <v>0.16980845696283819</v>
      </c>
      <c r="N61" s="127">
        <f t="shared" si="173"/>
        <v>0.19344169818424128</v>
      </c>
      <c r="O61" s="127">
        <f t="shared" si="173"/>
        <v>0.21755126585853213</v>
      </c>
      <c r="P61" s="127">
        <f t="shared" si="173"/>
        <v>0.24214922552361373</v>
      </c>
      <c r="Q61" s="127">
        <f t="shared" si="173"/>
        <v>0.26724467004863106</v>
      </c>
      <c r="R61" s="127">
        <f t="shared" si="173"/>
        <v>0.29284511853691542</v>
      </c>
      <c r="S61" s="127">
        <f t="shared" si="173"/>
        <v>0.31896281138923843</v>
      </c>
      <c r="T61" s="127">
        <f t="shared" si="173"/>
        <v>0.34560911469203059</v>
      </c>
      <c r="U61" s="127">
        <f t="shared" si="173"/>
        <v>0.37279277158870094</v>
      </c>
      <c r="V61" s="127">
        <f t="shared" si="173"/>
        <v>0.40052654706862523</v>
      </c>
      <c r="W61" s="127">
        <f t="shared" ref="W61:X61" si="174">(1+V61)*(1+V60)-1</f>
        <v>0.42881970886381637</v>
      </c>
      <c r="X61" s="127">
        <f t="shared" si="174"/>
        <v>0.45768572141512331</v>
      </c>
    </row>
    <row r="62" spans="1:24" s="13" customFormat="1" x14ac:dyDescent="0.2">
      <c r="A62" s="16" t="s">
        <v>182</v>
      </c>
      <c r="B62" s="16"/>
      <c r="C62" s="16"/>
      <c r="D62" s="16"/>
      <c r="E62" s="204"/>
      <c r="F62" s="204"/>
      <c r="G62" s="204"/>
      <c r="H62" s="204"/>
      <c r="I62" s="204"/>
      <c r="J62" s="204"/>
      <c r="K62" s="204"/>
      <c r="L62" s="204"/>
      <c r="M62" s="204"/>
      <c r="N62" s="204"/>
      <c r="O62" s="204"/>
      <c r="P62" s="204"/>
      <c r="Q62" s="204"/>
      <c r="R62" s="204"/>
      <c r="S62" s="204"/>
    </row>
    <row r="63" spans="1:24" s="13" customFormat="1" x14ac:dyDescent="0.2">
      <c r="E63" s="125"/>
      <c r="F63" s="125"/>
      <c r="G63" s="125"/>
      <c r="H63" s="125"/>
      <c r="I63" s="125"/>
      <c r="J63" s="125"/>
      <c r="K63" s="125"/>
      <c r="L63" s="125"/>
      <c r="M63" s="125"/>
      <c r="N63" s="125"/>
      <c r="O63" s="125"/>
      <c r="P63" s="125"/>
      <c r="Q63" s="125"/>
      <c r="R63" s="125"/>
      <c r="S63" s="125"/>
    </row>
    <row r="64" spans="1:24" x14ac:dyDescent="0.2">
      <c r="A64" s="73" t="s">
        <v>120</v>
      </c>
      <c r="B64" s="74"/>
      <c r="C64" s="74"/>
      <c r="D64" s="74"/>
      <c r="E64" s="75">
        <f>E57</f>
        <v>2020</v>
      </c>
      <c r="F64" s="75">
        <f t="shared" ref="F64" si="175">E64+1</f>
        <v>2021</v>
      </c>
      <c r="G64" s="75">
        <f t="shared" ref="G64" si="176">F64+1</f>
        <v>2022</v>
      </c>
      <c r="H64" s="75">
        <f t="shared" ref="H64" si="177">G64+1</f>
        <v>2023</v>
      </c>
      <c r="I64" s="75">
        <f t="shared" ref="I64" si="178">H64+1</f>
        <v>2024</v>
      </c>
      <c r="J64" s="75">
        <f t="shared" ref="J64" si="179">I64+1</f>
        <v>2025</v>
      </c>
      <c r="K64" s="75">
        <f t="shared" ref="K64" si="180">J64+1</f>
        <v>2026</v>
      </c>
      <c r="L64" s="75">
        <f t="shared" ref="L64" si="181">K64+1</f>
        <v>2027</v>
      </c>
      <c r="M64" s="75">
        <f t="shared" ref="M64" si="182">L64+1</f>
        <v>2028</v>
      </c>
      <c r="N64" s="75">
        <f t="shared" ref="N64" si="183">M64+1</f>
        <v>2029</v>
      </c>
      <c r="O64" s="75">
        <f t="shared" ref="O64" si="184">N64+1</f>
        <v>2030</v>
      </c>
      <c r="P64" s="75">
        <f t="shared" ref="P64" si="185">O64+1</f>
        <v>2031</v>
      </c>
      <c r="Q64" s="75">
        <f t="shared" ref="Q64" si="186">P64+1</f>
        <v>2032</v>
      </c>
      <c r="R64" s="75">
        <f t="shared" ref="R64" si="187">Q64+1</f>
        <v>2033</v>
      </c>
      <c r="S64" s="75">
        <f t="shared" ref="S64" si="188">R64+1</f>
        <v>2034</v>
      </c>
      <c r="T64" s="75">
        <f t="shared" ref="T64" si="189">S64+1</f>
        <v>2035</v>
      </c>
      <c r="U64" s="75">
        <f t="shared" ref="U64" si="190">T64+1</f>
        <v>2036</v>
      </c>
      <c r="V64" s="75">
        <f t="shared" ref="V64" si="191">U64+1</f>
        <v>2037</v>
      </c>
      <c r="W64" s="75">
        <f t="shared" ref="W64" si="192">V64+1</f>
        <v>2038</v>
      </c>
      <c r="X64" s="75">
        <f t="shared" ref="X64" si="193">W64+1</f>
        <v>2039</v>
      </c>
    </row>
    <row r="65" spans="1:24" x14ac:dyDescent="0.2">
      <c r="A65" s="8" t="s">
        <v>106</v>
      </c>
      <c r="B65" s="8"/>
      <c r="C65" s="8"/>
      <c r="D65" s="8"/>
      <c r="E65" s="129">
        <f t="shared" ref="E65:X65" si="194">(65%*E52)+(35%*E60)</f>
        <v>2.7270522478387148E-2</v>
      </c>
      <c r="F65" s="129">
        <f t="shared" si="194"/>
        <v>2.3299329551270564E-2</v>
      </c>
      <c r="G65" s="129">
        <f t="shared" si="194"/>
        <v>2.3744209893098375E-2</v>
      </c>
      <c r="H65" s="129">
        <f t="shared" si="194"/>
        <v>2.4238430478467687E-2</v>
      </c>
      <c r="I65" s="129">
        <f t="shared" si="194"/>
        <v>2.5565821349395994E-2</v>
      </c>
      <c r="J65" s="129">
        <f t="shared" si="194"/>
        <v>2.494165675419608E-2</v>
      </c>
      <c r="K65" s="129">
        <f t="shared" si="194"/>
        <v>2.3384539018924535E-2</v>
      </c>
      <c r="L65" s="129">
        <f t="shared" si="194"/>
        <v>2.3034700236448644E-2</v>
      </c>
      <c r="M65" s="129">
        <f t="shared" si="194"/>
        <v>2.2878156863171812E-2</v>
      </c>
      <c r="N65" s="129">
        <f t="shared" si="194"/>
        <v>2.3032477978769707E-2</v>
      </c>
      <c r="O65" s="129">
        <f t="shared" si="194"/>
        <v>2.3303510862599235E-2</v>
      </c>
      <c r="P65" s="129">
        <f t="shared" si="194"/>
        <v>2.3560948902159248E-2</v>
      </c>
      <c r="Q65" s="129">
        <f t="shared" si="194"/>
        <v>2.3517952732280252E-2</v>
      </c>
      <c r="R65" s="129">
        <f t="shared" si="194"/>
        <v>2.3502091715780157E-2</v>
      </c>
      <c r="S65" s="129">
        <f t="shared" si="194"/>
        <v>2.3448629823793057E-2</v>
      </c>
      <c r="T65" s="129">
        <f t="shared" si="194"/>
        <v>2.3459948699151634E-2</v>
      </c>
      <c r="U65" s="129">
        <f t="shared" si="194"/>
        <v>2.3423629203783675E-2</v>
      </c>
      <c r="V65" s="129">
        <f t="shared" si="194"/>
        <v>2.3361120000493174E-2</v>
      </c>
      <c r="W65" s="129">
        <f t="shared" si="194"/>
        <v>2.3279848020038504E-2</v>
      </c>
      <c r="X65" s="129">
        <f t="shared" si="194"/>
        <v>2.3313397062984055E-2</v>
      </c>
    </row>
    <row r="66" spans="1:24" x14ac:dyDescent="0.2">
      <c r="A66" s="8" t="s">
        <v>235</v>
      </c>
      <c r="E66" s="285" t="s">
        <v>7</v>
      </c>
      <c r="F66" s="285">
        <f>E65</f>
        <v>2.7270522478387148E-2</v>
      </c>
      <c r="G66" s="285">
        <f t="shared" ref="G66:V66" si="195">(1+F66)*(1+F65)-1</f>
        <v>5.1205236919916741E-2</v>
      </c>
      <c r="H66" s="285">
        <f t="shared" si="195"/>
        <v>7.6165274706067487E-2</v>
      </c>
      <c r="I66" s="285">
        <f t="shared" si="195"/>
        <v>0.10224983190037173</v>
      </c>
      <c r="J66" s="285">
        <f t="shared" si="195"/>
        <v>0.13042975418513825</v>
      </c>
      <c r="K66" s="285">
        <f t="shared" si="195"/>
        <v>0.15862454509875423</v>
      </c>
      <c r="L66" s="285">
        <f t="shared" si="195"/>
        <v>0.18571844598189968</v>
      </c>
      <c r="M66" s="285">
        <f t="shared" si="195"/>
        <v>0.21303111494992044</v>
      </c>
      <c r="N66" s="285">
        <f t="shared" si="195"/>
        <v>0.24078303107765286</v>
      </c>
      <c r="O66" s="285">
        <f t="shared" si="195"/>
        <v>0.2693613389173799</v>
      </c>
      <c r="P66" s="285">
        <f t="shared" si="195"/>
        <v>0.29894191466740461</v>
      </c>
      <c r="Q66" s="285">
        <f t="shared" si="195"/>
        <v>0.32954621874575629</v>
      </c>
      <c r="R66" s="285">
        <f t="shared" si="195"/>
        <v>0.36081442387360085</v>
      </c>
      <c r="S66" s="285">
        <f t="shared" si="195"/>
        <v>0.39279640927163473</v>
      </c>
      <c r="T66" s="285">
        <f t="shared" si="195"/>
        <v>0.42545557669255341</v>
      </c>
      <c r="U66" s="285">
        <f t="shared" si="195"/>
        <v>0.45889669139468015</v>
      </c>
      <c r="V66" s="285">
        <f t="shared" si="195"/>
        <v>0.49306934654053602</v>
      </c>
      <c r="W66" s="285">
        <f t="shared" ref="W66:X66" si="196">(1+V66)*(1+V65)-1</f>
        <v>0.5279491187141272</v>
      </c>
      <c r="X66" s="285">
        <f t="shared" si="196"/>
        <v>0.56351954198014376</v>
      </c>
    </row>
    <row r="67" spans="1:24" s="108" customFormat="1" x14ac:dyDescent="0.2">
      <c r="A67" s="108" t="s">
        <v>241</v>
      </c>
      <c r="E67" s="126"/>
      <c r="F67" s="126"/>
      <c r="G67" s="126"/>
      <c r="H67" s="126"/>
      <c r="I67" s="126"/>
      <c r="J67" s="126"/>
      <c r="K67" s="126"/>
      <c r="L67" s="126"/>
      <c r="M67" s="126"/>
      <c r="N67" s="126"/>
      <c r="O67" s="126"/>
      <c r="P67" s="126"/>
      <c r="Q67" s="126"/>
      <c r="R67" s="126"/>
      <c r="S67" s="126"/>
      <c r="T67" s="185"/>
      <c r="U67" s="185"/>
      <c r="V67" s="185"/>
      <c r="W67" s="185"/>
      <c r="X67" s="185"/>
    </row>
    <row r="69" spans="1:24" s="215" customFormat="1" x14ac:dyDescent="0.2">
      <c r="A69" s="6" t="s">
        <v>46</v>
      </c>
      <c r="B69" s="160"/>
      <c r="C69" s="160"/>
      <c r="D69" s="160"/>
      <c r="E69" s="160"/>
      <c r="F69" s="160"/>
      <c r="G69" s="160"/>
      <c r="H69" s="160"/>
      <c r="I69" s="160"/>
      <c r="J69" s="160"/>
      <c r="K69" s="160"/>
      <c r="L69" s="160"/>
      <c r="M69" s="160"/>
      <c r="N69" s="214"/>
      <c r="O69" s="214"/>
      <c r="P69" s="214"/>
      <c r="Q69" s="214"/>
      <c r="R69" s="214"/>
      <c r="S69" s="214"/>
      <c r="T69" s="214"/>
      <c r="U69" s="214"/>
      <c r="V69" s="214"/>
      <c r="W69" s="214"/>
      <c r="X69" s="214"/>
    </row>
    <row r="70" spans="1:24" s="13" customFormat="1" x14ac:dyDescent="0.2">
      <c r="A70" s="12"/>
      <c r="E70" s="18"/>
      <c r="F70" s="18"/>
      <c r="G70" s="18"/>
      <c r="H70" s="18"/>
      <c r="I70" s="18"/>
      <c r="J70" s="18"/>
      <c r="K70" s="18"/>
      <c r="L70" s="18"/>
      <c r="M70" s="18"/>
      <c r="N70" s="18"/>
      <c r="O70" s="18"/>
      <c r="P70" s="18"/>
      <c r="Q70" s="18"/>
      <c r="R70" s="18"/>
      <c r="S70" s="18"/>
    </row>
    <row r="71" spans="1:24" x14ac:dyDescent="0.2">
      <c r="A71" s="73" t="s">
        <v>21</v>
      </c>
      <c r="B71" s="74"/>
      <c r="C71" s="74"/>
      <c r="D71" s="74"/>
      <c r="E71" s="75">
        <f t="shared" ref="E71:V71" si="197">E64</f>
        <v>2020</v>
      </c>
      <c r="F71" s="75">
        <f t="shared" si="197"/>
        <v>2021</v>
      </c>
      <c r="G71" s="75">
        <f t="shared" si="197"/>
        <v>2022</v>
      </c>
      <c r="H71" s="75">
        <f t="shared" si="197"/>
        <v>2023</v>
      </c>
      <c r="I71" s="75">
        <f t="shared" si="197"/>
        <v>2024</v>
      </c>
      <c r="J71" s="75">
        <f t="shared" si="197"/>
        <v>2025</v>
      </c>
      <c r="K71" s="75">
        <f t="shared" si="197"/>
        <v>2026</v>
      </c>
      <c r="L71" s="75">
        <f t="shared" si="197"/>
        <v>2027</v>
      </c>
      <c r="M71" s="75">
        <f t="shared" si="197"/>
        <v>2028</v>
      </c>
      <c r="N71" s="75">
        <f t="shared" si="197"/>
        <v>2029</v>
      </c>
      <c r="O71" s="75">
        <f t="shared" si="197"/>
        <v>2030</v>
      </c>
      <c r="P71" s="75">
        <f t="shared" si="197"/>
        <v>2031</v>
      </c>
      <c r="Q71" s="75">
        <f t="shared" si="197"/>
        <v>2032</v>
      </c>
      <c r="R71" s="75">
        <f t="shared" si="197"/>
        <v>2033</v>
      </c>
      <c r="S71" s="75">
        <f t="shared" si="197"/>
        <v>2034</v>
      </c>
      <c r="T71" s="75">
        <f t="shared" si="197"/>
        <v>2035</v>
      </c>
      <c r="U71" s="75">
        <f t="shared" si="197"/>
        <v>2036</v>
      </c>
      <c r="V71" s="75">
        <f t="shared" si="197"/>
        <v>2037</v>
      </c>
      <c r="W71" s="75">
        <f t="shared" ref="W71:X71" si="198">W64</f>
        <v>2038</v>
      </c>
      <c r="X71" s="75">
        <f t="shared" si="198"/>
        <v>2039</v>
      </c>
    </row>
    <row r="72" spans="1:24" x14ac:dyDescent="0.2">
      <c r="A72" s="22" t="s">
        <v>44</v>
      </c>
      <c r="B72" s="22"/>
      <c r="C72" s="22"/>
      <c r="D72" s="22"/>
      <c r="E72" s="309">
        <v>4.7998784125</v>
      </c>
      <c r="F72" s="89">
        <f t="shared" ref="F72:V72" si="199">E72*(1+F$65)</f>
        <v>4.911712361438866</v>
      </c>
      <c r="G72" s="89">
        <f t="shared" si="199"/>
        <v>5.0283370906833964</v>
      </c>
      <c r="H72" s="89">
        <f t="shared" si="199"/>
        <v>5.150216089678227</v>
      </c>
      <c r="I72" s="89">
        <f t="shared" si="199"/>
        <v>5.2818855941377247</v>
      </c>
      <c r="J72" s="89">
        <f t="shared" si="199"/>
        <v>5.4136245716416402</v>
      </c>
      <c r="K72" s="89">
        <f t="shared" si="199"/>
        <v>5.5402196866710023</v>
      </c>
      <c r="L72" s="89">
        <f t="shared" si="199"/>
        <v>5.66783698639754</v>
      </c>
      <c r="M72" s="89">
        <f t="shared" si="199"/>
        <v>5.7975066500472296</v>
      </c>
      <c r="N72" s="89">
        <f t="shared" si="199"/>
        <v>5.931037594296213</v>
      </c>
      <c r="O72" s="89">
        <f t="shared" si="199"/>
        <v>6.0692515933013791</v>
      </c>
      <c r="P72" s="89">
        <f t="shared" si="199"/>
        <v>6.2122489199655018</v>
      </c>
      <c r="Q72" s="89">
        <f t="shared" si="199"/>
        <v>6.3583482964264091</v>
      </c>
      <c r="R72" s="89">
        <f t="shared" si="199"/>
        <v>6.5077827812498974</v>
      </c>
      <c r="S72" s="89">
        <f t="shared" si="199"/>
        <v>6.6603813706610806</v>
      </c>
      <c r="T72" s="89">
        <f t="shared" si="199"/>
        <v>6.8166335759335741</v>
      </c>
      <c r="U72" s="89">
        <f t="shared" si="199"/>
        <v>6.9763038732343041</v>
      </c>
      <c r="V72" s="89">
        <f t="shared" si="199"/>
        <v>7.139278145176835</v>
      </c>
      <c r="W72" s="89">
        <f t="shared" ref="W72:X72" si="200">V72*(1+W$65)</f>
        <v>7.3054794553693334</v>
      </c>
      <c r="X72" s="89">
        <f t="shared" si="200"/>
        <v>7.4757949986478307</v>
      </c>
    </row>
    <row r="73" spans="1:24" x14ac:dyDescent="0.2">
      <c r="A73" s="8" t="s">
        <v>27</v>
      </c>
      <c r="B73" s="8"/>
      <c r="C73" s="8"/>
      <c r="D73" s="8"/>
      <c r="E73" s="309"/>
      <c r="F73" s="90"/>
      <c r="G73" s="90"/>
      <c r="H73" s="90"/>
      <c r="I73" s="90"/>
      <c r="J73" s="90"/>
      <c r="K73" s="90"/>
      <c r="L73" s="90"/>
      <c r="M73" s="90"/>
      <c r="N73" s="90"/>
      <c r="O73" s="90"/>
      <c r="P73" s="90"/>
      <c r="Q73" s="90"/>
      <c r="R73" s="90"/>
      <c r="S73" s="90"/>
      <c r="T73" s="90"/>
      <c r="U73" s="90"/>
      <c r="V73" s="90"/>
      <c r="W73" s="90"/>
      <c r="X73" s="90"/>
    </row>
    <row r="74" spans="1:24" x14ac:dyDescent="0.2">
      <c r="A74" s="21" t="s">
        <v>114</v>
      </c>
      <c r="B74" s="22"/>
      <c r="C74" s="22"/>
      <c r="D74" s="22"/>
      <c r="E74" s="309">
        <v>229.1</v>
      </c>
      <c r="F74" s="89">
        <f t="shared" ref="F74:X74" si="201">(($B139*F42)+$C139)*F35/1000</f>
        <v>276.97031351251462</v>
      </c>
      <c r="G74" s="89">
        <f t="shared" si="201"/>
        <v>287.35076653079119</v>
      </c>
      <c r="H74" s="89">
        <f t="shared" si="201"/>
        <v>316.48595079662255</v>
      </c>
      <c r="I74" s="89">
        <f t="shared" si="201"/>
        <v>335.26906574691481</v>
      </c>
      <c r="J74" s="89">
        <f t="shared" si="201"/>
        <v>343.7869489056975</v>
      </c>
      <c r="K74" s="89">
        <f t="shared" si="201"/>
        <v>371.07455053289664</v>
      </c>
      <c r="L74" s="89">
        <f t="shared" si="201"/>
        <v>394.59952672567476</v>
      </c>
      <c r="M74" s="89">
        <f t="shared" si="201"/>
        <v>408.61722710269242</v>
      </c>
      <c r="N74" s="89">
        <f t="shared" si="201"/>
        <v>426.74018709016929</v>
      </c>
      <c r="O74" s="89">
        <f t="shared" si="201"/>
        <v>442.94062822486922</v>
      </c>
      <c r="P74" s="89">
        <f t="shared" si="201"/>
        <v>472.15881513423665</v>
      </c>
      <c r="Q74" s="89">
        <f t="shared" si="201"/>
        <v>491.2148030098503</v>
      </c>
      <c r="R74" s="89">
        <f t="shared" si="201"/>
        <v>510.45430947166204</v>
      </c>
      <c r="S74" s="89">
        <f t="shared" si="201"/>
        <v>530.84235224859833</v>
      </c>
      <c r="T74" s="89">
        <f t="shared" si="201"/>
        <v>547.64700388726703</v>
      </c>
      <c r="U74" s="89">
        <f t="shared" si="201"/>
        <v>566.69112916001802</v>
      </c>
      <c r="V74" s="89">
        <f t="shared" si="201"/>
        <v>582.26086958672522</v>
      </c>
      <c r="W74" s="89">
        <f t="shared" si="201"/>
        <v>601.79975339113957</v>
      </c>
      <c r="X74" s="89">
        <f t="shared" si="201"/>
        <v>619.69235163921655</v>
      </c>
    </row>
    <row r="75" spans="1:24" x14ac:dyDescent="0.2">
      <c r="A75" s="21" t="s">
        <v>115</v>
      </c>
      <c r="B75" s="22"/>
      <c r="C75" s="22"/>
      <c r="D75" s="22"/>
      <c r="E75" s="309">
        <v>2.3118885246898753</v>
      </c>
      <c r="F75" s="89">
        <f t="shared" ref="F75:V75" si="202">E75*(1+F$65)</f>
        <v>2.365753977312425</v>
      </c>
      <c r="G75" s="89">
        <f t="shared" si="202"/>
        <v>2.4219269363051636</v>
      </c>
      <c r="H75" s="89">
        <f t="shared" si="202"/>
        <v>2.4806306439747248</v>
      </c>
      <c r="I75" s="89">
        <f t="shared" si="202"/>
        <v>2.5440500038524196</v>
      </c>
      <c r="J75" s="89">
        <f t="shared" si="202"/>
        <v>2.6075028258140178</v>
      </c>
      <c r="K75" s="89">
        <f t="shared" si="202"/>
        <v>2.6684780773862213</v>
      </c>
      <c r="L75" s="89">
        <f t="shared" si="202"/>
        <v>2.7299456699863476</v>
      </c>
      <c r="M75" s="89">
        <f t="shared" si="202"/>
        <v>2.7924017952522315</v>
      </c>
      <c r="N75" s="89">
        <f t="shared" si="202"/>
        <v>2.8567177281092553</v>
      </c>
      <c r="O75" s="89">
        <f t="shared" si="202"/>
        <v>2.9232892807176292</v>
      </c>
      <c r="P75" s="89">
        <f t="shared" si="202"/>
        <v>2.9921647500868471</v>
      </c>
      <c r="Q75" s="89">
        <f t="shared" si="202"/>
        <v>3.0625343392465845</v>
      </c>
      <c r="R75" s="89">
        <f t="shared" si="202"/>
        <v>3.134510302170284</v>
      </c>
      <c r="S75" s="89">
        <f t="shared" si="202"/>
        <v>3.2080102739247405</v>
      </c>
      <c r="T75" s="89">
        <f t="shared" si="202"/>
        <v>3.2832700303773659</v>
      </c>
      <c r="U75" s="89">
        <f t="shared" si="202"/>
        <v>3.3601761301448212</v>
      </c>
      <c r="V75" s="89">
        <f t="shared" si="202"/>
        <v>3.4386736079439268</v>
      </c>
      <c r="W75" s="89">
        <f t="shared" ref="W75:X75" si="203">V75*(1+W$65)</f>
        <v>3.5187254069273788</v>
      </c>
      <c r="X75" s="89">
        <f t="shared" si="203"/>
        <v>3.6007588494946865</v>
      </c>
    </row>
    <row r="76" spans="1:24" x14ac:dyDescent="0.2">
      <c r="A76" s="21" t="s">
        <v>116</v>
      </c>
      <c r="B76" s="22"/>
      <c r="C76" s="22"/>
      <c r="D76" s="22"/>
      <c r="E76" s="309">
        <v>2.83</v>
      </c>
      <c r="F76" s="89">
        <f t="shared" ref="F76:V76" si="204">E76*(1+F$65)</f>
        <v>2.8959371026300955</v>
      </c>
      <c r="G76" s="89">
        <f t="shared" si="204"/>
        <v>2.9646988410321558</v>
      </c>
      <c r="H76" s="89">
        <f t="shared" si="204"/>
        <v>3.0365584877801077</v>
      </c>
      <c r="I76" s="89">
        <f t="shared" si="204"/>
        <v>3.1141905995956858</v>
      </c>
      <c r="J76" s="89">
        <f t="shared" si="204"/>
        <v>3.1918636725979455</v>
      </c>
      <c r="K76" s="89">
        <f t="shared" si="204"/>
        <v>3.2665039331928996</v>
      </c>
      <c r="L76" s="89">
        <f t="shared" si="204"/>
        <v>3.3417468721151784</v>
      </c>
      <c r="M76" s="89">
        <f t="shared" si="204"/>
        <v>3.418199881252443</v>
      </c>
      <c r="N76" s="89">
        <f t="shared" si="204"/>
        <v>3.4969294947444229</v>
      </c>
      <c r="O76" s="89">
        <f t="shared" si="204"/>
        <v>3.578420229210943</v>
      </c>
      <c r="P76" s="89">
        <f t="shared" si="204"/>
        <v>3.6627312053818355</v>
      </c>
      <c r="Q76" s="89">
        <f t="shared" si="204"/>
        <v>3.7488711447410532</v>
      </c>
      <c r="R76" s="89">
        <f t="shared" si="204"/>
        <v>3.8369774582153995</v>
      </c>
      <c r="S76" s="89">
        <f t="shared" si="204"/>
        <v>3.9269493222753309</v>
      </c>
      <c r="T76" s="89">
        <f t="shared" si="204"/>
        <v>4.0190753519200779</v>
      </c>
      <c r="U76" s="89">
        <f t="shared" si="204"/>
        <v>4.1132166827055201</v>
      </c>
      <c r="V76" s="89">
        <f t="shared" si="204"/>
        <v>4.209306031218234</v>
      </c>
      <c r="W76" s="89">
        <f t="shared" ref="W76:X76" si="205">V76*(1+W$65)</f>
        <v>4.3072980358948261</v>
      </c>
      <c r="X76" s="89">
        <f t="shared" si="205"/>
        <v>4.4077157852742532</v>
      </c>
    </row>
    <row r="77" spans="1:24" x14ac:dyDescent="0.2">
      <c r="A77" s="21" t="s">
        <v>45</v>
      </c>
      <c r="B77" s="22"/>
      <c r="C77" s="22"/>
      <c r="D77" s="22"/>
      <c r="E77" s="309">
        <v>20.645840013676846</v>
      </c>
      <c r="F77" s="89">
        <f t="shared" ref="F77:V77" si="206">E77*(1+F$65)</f>
        <v>21.12687424401831</v>
      </c>
      <c r="G77" s="89">
        <f t="shared" si="206"/>
        <v>21.628515180453377</v>
      </c>
      <c r="H77" s="89">
        <f t="shared" si="206"/>
        <v>22.152756442007281</v>
      </c>
      <c r="I77" s="89">
        <f t="shared" si="206"/>
        <v>22.719109855600319</v>
      </c>
      <c r="J77" s="89">
        <f t="shared" si="206"/>
        <v>23.285762095379575</v>
      </c>
      <c r="K77" s="89">
        <f t="shared" si="206"/>
        <v>23.83028890768437</v>
      </c>
      <c r="L77" s="89">
        <f t="shared" si="206"/>
        <v>24.379212469220846</v>
      </c>
      <c r="M77" s="89">
        <f t="shared" si="206"/>
        <v>24.936963916292274</v>
      </c>
      <c r="N77" s="89">
        <f t="shared" si="206"/>
        <v>25.511323988551649</v>
      </c>
      <c r="O77" s="89">
        <f t="shared" si="206"/>
        <v>26.105827404238148</v>
      </c>
      <c r="P77" s="89">
        <f t="shared" si="206"/>
        <v>26.720905469757994</v>
      </c>
      <c r="Q77" s="89">
        <f t="shared" si="206"/>
        <v>27.349326461559489</v>
      </c>
      <c r="R77" s="89">
        <f t="shared" si="206"/>
        <v>27.992092840423876</v>
      </c>
      <c r="S77" s="89">
        <f t="shared" si="206"/>
        <v>28.648469063432223</v>
      </c>
      <c r="T77" s="89">
        <f t="shared" si="206"/>
        <v>29.320560677969574</v>
      </c>
      <c r="U77" s="89">
        <f t="shared" si="206"/>
        <v>30.007354619337374</v>
      </c>
      <c r="V77" s="89">
        <f t="shared" si="206"/>
        <v>30.708360031497065</v>
      </c>
      <c r="W77" s="89">
        <f t="shared" ref="W77:X77" si="207">V77*(1+W$65)</f>
        <v>31.42324598597494</v>
      </c>
      <c r="X77" s="89">
        <f t="shared" si="207"/>
        <v>32.155828596653791</v>
      </c>
    </row>
    <row r="78" spans="1:24" x14ac:dyDescent="0.2">
      <c r="A78" s="21" t="s">
        <v>184</v>
      </c>
      <c r="B78" s="22"/>
      <c r="C78" s="22"/>
      <c r="D78" s="22"/>
      <c r="E78" s="309">
        <v>2.8571428800000001</v>
      </c>
      <c r="F78" s="89">
        <f t="shared" ref="F78:V78" si="208">E78*(1+F$65)</f>
        <v>2.9237123935361859</v>
      </c>
      <c r="G78" s="89">
        <f t="shared" si="208"/>
        <v>2.9931336342753623</v>
      </c>
      <c r="H78" s="89">
        <f t="shared" si="208"/>
        <v>3.0656824957825091</v>
      </c>
      <c r="I78" s="89">
        <f t="shared" si="208"/>
        <v>3.1440591867836547</v>
      </c>
      <c r="J78" s="89">
        <f t="shared" si="208"/>
        <v>3.2224772318352892</v>
      </c>
      <c r="K78" s="89">
        <f t="shared" si="208"/>
        <v>3.297833376400737</v>
      </c>
      <c r="L78" s="89">
        <f t="shared" si="208"/>
        <v>3.3737979796558832</v>
      </c>
      <c r="M78" s="89">
        <f t="shared" si="208"/>
        <v>3.4509842590591022</v>
      </c>
      <c r="N78" s="89">
        <f t="shared" si="208"/>
        <v>3.5304689780109615</v>
      </c>
      <c r="O78" s="89">
        <f t="shared" si="208"/>
        <v>3.6127413001901094</v>
      </c>
      <c r="P78" s="89">
        <f t="shared" si="208"/>
        <v>3.6978609133606093</v>
      </c>
      <c r="Q78" s="89">
        <f t="shared" si="208"/>
        <v>3.7848270315315706</v>
      </c>
      <c r="R78" s="89">
        <f t="shared" si="208"/>
        <v>3.8737783835549897</v>
      </c>
      <c r="S78" s="89">
        <f t="shared" si="208"/>
        <v>3.964613178890382</v>
      </c>
      <c r="T78" s="89">
        <f t="shared" si="208"/>
        <v>4.0576228006791304</v>
      </c>
      <c r="U78" s="89">
        <f t="shared" si="208"/>
        <v>4.152667052611057</v>
      </c>
      <c r="V78" s="89">
        <f t="shared" si="208"/>
        <v>4.2496780059491979</v>
      </c>
      <c r="W78" s="89">
        <f t="shared" ref="W78:X78" si="209">V78*(1+W$65)</f>
        <v>4.3486098640617952</v>
      </c>
      <c r="X78" s="89">
        <f t="shared" si="209"/>
        <v>4.4499907324946761</v>
      </c>
    </row>
    <row r="79" spans="1:24" x14ac:dyDescent="0.2">
      <c r="A79" s="220" t="s">
        <v>185</v>
      </c>
      <c r="B79" s="221"/>
      <c r="C79" s="221"/>
      <c r="D79" s="221"/>
      <c r="E79" s="310">
        <v>0.1</v>
      </c>
      <c r="F79" s="222">
        <f t="shared" ref="F79:V79" si="210">E79*(1+F$65)</f>
        <v>0.10232993295512705</v>
      </c>
      <c r="G79" s="222">
        <f t="shared" si="210"/>
        <v>0.10475967636156028</v>
      </c>
      <c r="H79" s="222">
        <f t="shared" si="210"/>
        <v>0.10729888649399674</v>
      </c>
      <c r="I79" s="222">
        <f t="shared" si="210"/>
        <v>0.11004207065709137</v>
      </c>
      <c r="J79" s="222">
        <f t="shared" si="210"/>
        <v>0.11278670221194154</v>
      </c>
      <c r="K79" s="222">
        <f t="shared" si="210"/>
        <v>0.1154241672506325</v>
      </c>
      <c r="L79" s="222">
        <f t="shared" si="210"/>
        <v>0.11808292834329252</v>
      </c>
      <c r="M79" s="222">
        <f t="shared" si="210"/>
        <v>0.12078444810079304</v>
      </c>
      <c r="N79" s="222">
        <f t="shared" si="210"/>
        <v>0.1235664132418524</v>
      </c>
      <c r="O79" s="222">
        <f t="shared" si="210"/>
        <v>0.12644594449508634</v>
      </c>
      <c r="P79" s="222">
        <f t="shared" si="210"/>
        <v>0.12942513093222033</v>
      </c>
      <c r="Q79" s="222">
        <f t="shared" si="210"/>
        <v>0.13246894504385345</v>
      </c>
      <c r="R79" s="222">
        <f t="shared" si="210"/>
        <v>0.13558224233976673</v>
      </c>
      <c r="S79" s="222">
        <f t="shared" si="210"/>
        <v>0.13876146015107171</v>
      </c>
      <c r="T79" s="222">
        <f t="shared" si="210"/>
        <v>0.14201679688763522</v>
      </c>
      <c r="U79" s="222">
        <f t="shared" si="210"/>
        <v>0.14534334567864024</v>
      </c>
      <c r="V79" s="222">
        <f t="shared" si="210"/>
        <v>0.14873872901831209</v>
      </c>
      <c r="W79" s="222">
        <f t="shared" ref="W79:X79" si="211">V79*(1+W$65)</f>
        <v>0.15220134402455207</v>
      </c>
      <c r="X79" s="222">
        <f t="shared" si="211"/>
        <v>0.15574967439131626</v>
      </c>
    </row>
    <row r="80" spans="1:24" x14ac:dyDescent="0.2">
      <c r="A80" s="218" t="s">
        <v>38</v>
      </c>
      <c r="B80" s="8"/>
      <c r="C80" s="8"/>
      <c r="D80" s="8"/>
      <c r="E80" s="309">
        <f t="shared" ref="E80:V80" si="212">SUM(E74:E79)</f>
        <v>257.84487141836678</v>
      </c>
      <c r="F80" s="219">
        <f t="shared" si="212"/>
        <v>306.38492116296675</v>
      </c>
      <c r="G80" s="219">
        <f t="shared" si="212"/>
        <v>317.4638007992188</v>
      </c>
      <c r="H80" s="219">
        <f t="shared" si="212"/>
        <v>347.32887775266113</v>
      </c>
      <c r="I80" s="219">
        <f t="shared" si="212"/>
        <v>366.90051746340396</v>
      </c>
      <c r="J80" s="219">
        <f t="shared" si="212"/>
        <v>376.20734143353633</v>
      </c>
      <c r="K80" s="219">
        <f t="shared" si="212"/>
        <v>404.25307899481146</v>
      </c>
      <c r="L80" s="219">
        <f t="shared" si="212"/>
        <v>428.54231264499629</v>
      </c>
      <c r="M80" s="219">
        <f t="shared" si="212"/>
        <v>443.33656140264924</v>
      </c>
      <c r="N80" s="219">
        <f t="shared" si="212"/>
        <v>462.25919369282741</v>
      </c>
      <c r="O80" s="219">
        <f t="shared" si="212"/>
        <v>479.28735238372116</v>
      </c>
      <c r="P80" s="219">
        <f t="shared" si="212"/>
        <v>509.36190260375616</v>
      </c>
      <c r="Q80" s="219">
        <f t="shared" si="212"/>
        <v>529.29283093197284</v>
      </c>
      <c r="R80" s="219">
        <f t="shared" si="212"/>
        <v>549.42725069836638</v>
      </c>
      <c r="S80" s="219">
        <f t="shared" si="212"/>
        <v>570.72915554727206</v>
      </c>
      <c r="T80" s="219">
        <f t="shared" si="212"/>
        <v>588.46954954510079</v>
      </c>
      <c r="U80" s="219">
        <f t="shared" si="212"/>
        <v>608.46988699049541</v>
      </c>
      <c r="V80" s="219">
        <f t="shared" si="212"/>
        <v>625.01562599235194</v>
      </c>
      <c r="W80" s="219">
        <f t="shared" ref="W80:X80" si="213">SUM(W74:W79)</f>
        <v>645.54983402802316</v>
      </c>
      <c r="X80" s="219">
        <f t="shared" si="213"/>
        <v>664.46239527752539</v>
      </c>
    </row>
    <row r="81" spans="1:24" x14ac:dyDescent="0.2">
      <c r="A81" s="22" t="s">
        <v>117</v>
      </c>
      <c r="B81" s="22"/>
      <c r="C81" s="22"/>
      <c r="D81" s="22"/>
      <c r="E81" s="309">
        <v>98.967838999999998</v>
      </c>
      <c r="F81" s="89">
        <f t="shared" ref="F81:V81" si="214">E81*(1+F$52)</f>
        <v>101.48981110519841</v>
      </c>
      <c r="G81" s="89">
        <f t="shared" si="214"/>
        <v>104.12436339923082</v>
      </c>
      <c r="H81" s="89">
        <f t="shared" si="214"/>
        <v>106.86953727061029</v>
      </c>
      <c r="I81" s="89">
        <f t="shared" si="214"/>
        <v>109.9060246219195</v>
      </c>
      <c r="J81" s="89">
        <f t="shared" si="214"/>
        <v>112.92852189117937</v>
      </c>
      <c r="K81" s="89">
        <f t="shared" si="214"/>
        <v>115.76273264188697</v>
      </c>
      <c r="L81" s="89">
        <f t="shared" si="214"/>
        <v>118.60593701676913</v>
      </c>
      <c r="M81" s="89">
        <f t="shared" si="214"/>
        <v>121.49029221870778</v>
      </c>
      <c r="N81" s="89">
        <f t="shared" si="214"/>
        <v>124.47369720155557</v>
      </c>
      <c r="O81" s="89">
        <f t="shared" si="214"/>
        <v>127.58219350375572</v>
      </c>
      <c r="P81" s="89">
        <f t="shared" si="214"/>
        <v>130.81881897169612</v>
      </c>
      <c r="Q81" s="89">
        <f t="shared" si="214"/>
        <v>134.12901228538439</v>
      </c>
      <c r="R81" s="89">
        <f t="shared" si="214"/>
        <v>137.51968854251922</v>
      </c>
      <c r="S81" s="89">
        <f t="shared" si="214"/>
        <v>140.98471209283039</v>
      </c>
      <c r="T81" s="89">
        <f t="shared" si="214"/>
        <v>144.53955196989818</v>
      </c>
      <c r="U81" s="89">
        <f t="shared" si="214"/>
        <v>148.17589406781897</v>
      </c>
      <c r="V81" s="89">
        <f t="shared" si="214"/>
        <v>151.88952137614646</v>
      </c>
      <c r="W81" s="89">
        <f t="shared" ref="W81:X81" si="215">V81*(1+W$52)</f>
        <v>155.67715621851488</v>
      </c>
      <c r="X81" s="89">
        <f t="shared" si="215"/>
        <v>159.56737833396775</v>
      </c>
    </row>
    <row r="82" spans="1:24" x14ac:dyDescent="0.2">
      <c r="A82" s="22" t="s">
        <v>113</v>
      </c>
      <c r="B82" s="22"/>
      <c r="C82" s="22"/>
      <c r="D82" s="22"/>
      <c r="E82" s="309">
        <v>26.162394022361411</v>
      </c>
      <c r="F82" s="89">
        <f t="shared" ref="F82:V82" si="216">E82*(1+F$65)</f>
        <v>26.771960262538599</v>
      </c>
      <c r="G82" s="89">
        <f t="shared" si="216"/>
        <v>27.407639306262006</v>
      </c>
      <c r="H82" s="89">
        <f t="shared" si="216"/>
        <v>28.071957466165756</v>
      </c>
      <c r="I82" s="89">
        <f t="shared" si="216"/>
        <v>28.789640115673588</v>
      </c>
      <c r="J82" s="89">
        <f t="shared" si="216"/>
        <v>29.50770143751555</v>
      </c>
      <c r="K82" s="89">
        <f t="shared" si="216"/>
        <v>30.197725433139905</v>
      </c>
      <c r="L82" s="89">
        <f t="shared" si="216"/>
        <v>30.893320986314862</v>
      </c>
      <c r="M82" s="89">
        <f t="shared" si="216"/>
        <v>31.600103229864089</v>
      </c>
      <c r="N82" s="89">
        <f t="shared" si="216"/>
        <v>32.327931911632781</v>
      </c>
      <c r="O82" s="89">
        <f t="shared" si="216"/>
        <v>33.081286224100886</v>
      </c>
      <c r="P82" s="89">
        <f t="shared" si="216"/>
        <v>33.860712718444631</v>
      </c>
      <c r="Q82" s="89">
        <f t="shared" si="216"/>
        <v>34.657047359638334</v>
      </c>
      <c r="R82" s="89">
        <f t="shared" si="216"/>
        <v>35.471560465282693</v>
      </c>
      <c r="S82" s="89">
        <f t="shared" si="216"/>
        <v>36.303319955905401</v>
      </c>
      <c r="T82" s="89">
        <f t="shared" si="216"/>
        <v>37.15499397967983</v>
      </c>
      <c r="U82" s="89">
        <f t="shared" si="216"/>
        <v>38.025298781728665</v>
      </c>
      <c r="V82" s="89">
        <f t="shared" si="216"/>
        <v>38.913612349623229</v>
      </c>
      <c r="W82" s="89">
        <f t="shared" ref="W82:X82" si="217">V82*(1+W$65)</f>
        <v>39.819515331033152</v>
      </c>
      <c r="X82" s="89">
        <f t="shared" si="217"/>
        <v>40.747843502801103</v>
      </c>
    </row>
    <row r="84" spans="1:24" s="215" customFormat="1" x14ac:dyDescent="0.2">
      <c r="A84" s="23" t="s">
        <v>157</v>
      </c>
      <c r="B84" s="212"/>
      <c r="C84" s="212"/>
      <c r="D84" s="212"/>
      <c r="E84" s="213"/>
      <c r="F84" s="213"/>
      <c r="G84" s="213"/>
      <c r="H84" s="213"/>
      <c r="I84" s="213"/>
      <c r="J84" s="213"/>
      <c r="K84" s="213"/>
      <c r="L84" s="213"/>
      <c r="M84" s="213"/>
      <c r="N84" s="213"/>
      <c r="O84" s="213"/>
      <c r="P84" s="213"/>
      <c r="Q84" s="213"/>
      <c r="R84" s="213"/>
      <c r="S84" s="213"/>
      <c r="T84" s="213"/>
      <c r="U84" s="213"/>
      <c r="V84" s="213"/>
      <c r="W84" s="213"/>
      <c r="X84" s="213"/>
    </row>
    <row r="85" spans="1:24" s="13" customFormat="1" x14ac:dyDescent="0.2">
      <c r="A85" s="12"/>
      <c r="E85" s="18"/>
      <c r="F85" s="18"/>
      <c r="G85" s="18"/>
      <c r="H85" s="18"/>
      <c r="I85" s="18"/>
      <c r="J85" s="18"/>
      <c r="K85" s="18"/>
      <c r="L85" s="18"/>
      <c r="M85" s="18"/>
      <c r="N85" s="18"/>
      <c r="O85" s="18"/>
      <c r="P85" s="18"/>
      <c r="Q85" s="18"/>
    </row>
    <row r="86" spans="1:24" x14ac:dyDescent="0.2">
      <c r="A86" s="73" t="s">
        <v>17</v>
      </c>
      <c r="B86" s="74"/>
      <c r="C86" s="74"/>
      <c r="D86" s="74"/>
      <c r="E86" s="75">
        <f t="shared" ref="E86:V86" si="218">E71</f>
        <v>2020</v>
      </c>
      <c r="F86" s="75">
        <f t="shared" si="218"/>
        <v>2021</v>
      </c>
      <c r="G86" s="75">
        <f t="shared" si="218"/>
        <v>2022</v>
      </c>
      <c r="H86" s="75">
        <f t="shared" si="218"/>
        <v>2023</v>
      </c>
      <c r="I86" s="75">
        <f t="shared" si="218"/>
        <v>2024</v>
      </c>
      <c r="J86" s="75">
        <f t="shared" si="218"/>
        <v>2025</v>
      </c>
      <c r="K86" s="75">
        <f t="shared" si="218"/>
        <v>2026</v>
      </c>
      <c r="L86" s="75">
        <f t="shared" si="218"/>
        <v>2027</v>
      </c>
      <c r="M86" s="75">
        <f t="shared" si="218"/>
        <v>2028</v>
      </c>
      <c r="N86" s="75">
        <f t="shared" si="218"/>
        <v>2029</v>
      </c>
      <c r="O86" s="75">
        <f t="shared" si="218"/>
        <v>2030</v>
      </c>
      <c r="P86" s="75">
        <f t="shared" si="218"/>
        <v>2031</v>
      </c>
      <c r="Q86" s="75">
        <f t="shared" si="218"/>
        <v>2032</v>
      </c>
      <c r="R86" s="75">
        <f t="shared" si="218"/>
        <v>2033</v>
      </c>
      <c r="S86" s="75">
        <f t="shared" si="218"/>
        <v>2034</v>
      </c>
      <c r="T86" s="75">
        <f t="shared" si="218"/>
        <v>2035</v>
      </c>
      <c r="U86" s="75">
        <f t="shared" si="218"/>
        <v>2036</v>
      </c>
      <c r="V86" s="75">
        <f t="shared" si="218"/>
        <v>2037</v>
      </c>
      <c r="W86" s="75">
        <f t="shared" ref="W86:X86" si="219">W71</f>
        <v>2038</v>
      </c>
      <c r="X86" s="75">
        <f t="shared" si="219"/>
        <v>2039</v>
      </c>
    </row>
    <row r="87" spans="1:24" x14ac:dyDescent="0.2">
      <c r="A87" s="63" t="s">
        <v>203</v>
      </c>
      <c r="B87" s="17"/>
      <c r="C87" s="17"/>
      <c r="D87" s="17"/>
      <c r="E87" s="308">
        <v>0.51692657133398034</v>
      </c>
      <c r="F87" s="85">
        <f t="shared" ref="F87" si="220">E87</f>
        <v>0.51692657133398034</v>
      </c>
      <c r="G87" s="85">
        <f t="shared" ref="G87:G89" si="221">F87</f>
        <v>0.51692657133398034</v>
      </c>
      <c r="H87" s="85">
        <f t="shared" ref="H87:H89" si="222">G87</f>
        <v>0.51692657133398034</v>
      </c>
      <c r="I87" s="85">
        <f t="shared" ref="I87:I89" si="223">H87</f>
        <v>0.51692657133398034</v>
      </c>
      <c r="J87" s="85">
        <f t="shared" ref="J87:J89" si="224">I87</f>
        <v>0.51692657133398034</v>
      </c>
      <c r="K87" s="85">
        <f t="shared" ref="K87:K89" si="225">J87</f>
        <v>0.51692657133398034</v>
      </c>
      <c r="L87" s="85">
        <f t="shared" ref="L87:L89" si="226">K87</f>
        <v>0.51692657133398034</v>
      </c>
      <c r="M87" s="85">
        <f t="shared" ref="M87:M89" si="227">L87</f>
        <v>0.51692657133398034</v>
      </c>
      <c r="N87" s="85">
        <f t="shared" ref="N87:N89" si="228">M87</f>
        <v>0.51692657133398034</v>
      </c>
      <c r="O87" s="85">
        <f t="shared" ref="O87:O89" si="229">N87</f>
        <v>0.51692657133398034</v>
      </c>
      <c r="P87" s="85">
        <f t="shared" ref="P87:P89" si="230">O87</f>
        <v>0.51692657133398034</v>
      </c>
      <c r="Q87" s="85">
        <f t="shared" ref="Q87:Q89" si="231">P87</f>
        <v>0.51692657133398034</v>
      </c>
      <c r="R87" s="85">
        <f t="shared" ref="R87:R89" si="232">Q87</f>
        <v>0.51692657133398034</v>
      </c>
      <c r="S87" s="85">
        <f t="shared" ref="S87:S89" si="233">R87</f>
        <v>0.51692657133398034</v>
      </c>
      <c r="T87" s="85">
        <f t="shared" ref="T87:T89" si="234">S87</f>
        <v>0.51692657133398034</v>
      </c>
      <c r="U87" s="85">
        <f t="shared" ref="U87:U89" si="235">T87</f>
        <v>0.51692657133398034</v>
      </c>
      <c r="V87" s="85">
        <f t="shared" ref="V87:V89" si="236">U87</f>
        <v>0.51692657133398034</v>
      </c>
      <c r="W87" s="85">
        <f t="shared" ref="W87:W89" si="237">V87</f>
        <v>0.51692657133398034</v>
      </c>
      <c r="X87" s="85">
        <f t="shared" ref="X87:X89" si="238">W87</f>
        <v>0.51692657133398034</v>
      </c>
    </row>
    <row r="88" spans="1:24" x14ac:dyDescent="0.2">
      <c r="A88" s="63" t="s">
        <v>48</v>
      </c>
      <c r="B88" s="17"/>
      <c r="C88" s="17"/>
      <c r="D88" s="17"/>
      <c r="E88" s="308">
        <v>0.24584169603111261</v>
      </c>
      <c r="F88" s="85">
        <f t="shared" ref="F88" si="239">E88</f>
        <v>0.24584169603111261</v>
      </c>
      <c r="G88" s="85">
        <f t="shared" si="221"/>
        <v>0.24584169603111261</v>
      </c>
      <c r="H88" s="85">
        <f t="shared" si="222"/>
        <v>0.24584169603111261</v>
      </c>
      <c r="I88" s="85">
        <f t="shared" si="223"/>
        <v>0.24584169603111261</v>
      </c>
      <c r="J88" s="85">
        <f t="shared" si="224"/>
        <v>0.24584169603111261</v>
      </c>
      <c r="K88" s="85">
        <f t="shared" si="225"/>
        <v>0.24584169603111261</v>
      </c>
      <c r="L88" s="85">
        <f t="shared" si="226"/>
        <v>0.24584169603111261</v>
      </c>
      <c r="M88" s="85">
        <f t="shared" si="227"/>
        <v>0.24584169603111261</v>
      </c>
      <c r="N88" s="85">
        <f t="shared" si="228"/>
        <v>0.24584169603111261</v>
      </c>
      <c r="O88" s="85">
        <f t="shared" si="229"/>
        <v>0.24584169603111261</v>
      </c>
      <c r="P88" s="85">
        <f t="shared" si="230"/>
        <v>0.24584169603111261</v>
      </c>
      <c r="Q88" s="85">
        <f t="shared" si="231"/>
        <v>0.24584169603111261</v>
      </c>
      <c r="R88" s="85">
        <f t="shared" si="232"/>
        <v>0.24584169603111261</v>
      </c>
      <c r="S88" s="85">
        <f t="shared" si="233"/>
        <v>0.24584169603111261</v>
      </c>
      <c r="T88" s="85">
        <f t="shared" si="234"/>
        <v>0.24584169603111261</v>
      </c>
      <c r="U88" s="85">
        <f t="shared" si="235"/>
        <v>0.24584169603111261</v>
      </c>
      <c r="V88" s="85">
        <f t="shared" si="236"/>
        <v>0.24584169603111261</v>
      </c>
      <c r="W88" s="85">
        <f t="shared" si="237"/>
        <v>0.24584169603111261</v>
      </c>
      <c r="X88" s="85">
        <f t="shared" si="238"/>
        <v>0.24584169603111261</v>
      </c>
    </row>
    <row r="89" spans="1:24" x14ac:dyDescent="0.2">
      <c r="A89" s="63" t="s">
        <v>28</v>
      </c>
      <c r="B89" s="17"/>
      <c r="C89" s="17"/>
      <c r="D89" s="17"/>
      <c r="E89" s="308">
        <v>0.23723173263490704</v>
      </c>
      <c r="F89" s="85">
        <f t="shared" ref="F89" si="240">E89</f>
        <v>0.23723173263490704</v>
      </c>
      <c r="G89" s="85">
        <f t="shared" si="221"/>
        <v>0.23723173263490704</v>
      </c>
      <c r="H89" s="85">
        <f t="shared" si="222"/>
        <v>0.23723173263490704</v>
      </c>
      <c r="I89" s="85">
        <f t="shared" si="223"/>
        <v>0.23723173263490704</v>
      </c>
      <c r="J89" s="85">
        <f t="shared" si="224"/>
        <v>0.23723173263490704</v>
      </c>
      <c r="K89" s="85">
        <f t="shared" si="225"/>
        <v>0.23723173263490704</v>
      </c>
      <c r="L89" s="85">
        <f t="shared" si="226"/>
        <v>0.23723173263490704</v>
      </c>
      <c r="M89" s="85">
        <f t="shared" si="227"/>
        <v>0.23723173263490704</v>
      </c>
      <c r="N89" s="85">
        <f t="shared" si="228"/>
        <v>0.23723173263490704</v>
      </c>
      <c r="O89" s="85">
        <f t="shared" si="229"/>
        <v>0.23723173263490704</v>
      </c>
      <c r="P89" s="85">
        <f t="shared" si="230"/>
        <v>0.23723173263490704</v>
      </c>
      <c r="Q89" s="85">
        <f t="shared" si="231"/>
        <v>0.23723173263490704</v>
      </c>
      <c r="R89" s="85">
        <f t="shared" si="232"/>
        <v>0.23723173263490704</v>
      </c>
      <c r="S89" s="85">
        <f t="shared" si="233"/>
        <v>0.23723173263490704</v>
      </c>
      <c r="T89" s="85">
        <f t="shared" si="234"/>
        <v>0.23723173263490704</v>
      </c>
      <c r="U89" s="85">
        <f t="shared" si="235"/>
        <v>0.23723173263490704</v>
      </c>
      <c r="V89" s="85">
        <f t="shared" si="236"/>
        <v>0.23723173263490704</v>
      </c>
      <c r="W89" s="85">
        <f t="shared" si="237"/>
        <v>0.23723173263490704</v>
      </c>
      <c r="X89" s="85">
        <f t="shared" si="238"/>
        <v>0.23723173263490704</v>
      </c>
    </row>
    <row r="90" spans="1:24" s="13" customFormat="1" x14ac:dyDescent="0.2">
      <c r="A90" s="12"/>
      <c r="E90" s="18"/>
      <c r="F90" s="18"/>
      <c r="G90" s="18"/>
      <c r="H90" s="18"/>
      <c r="I90" s="18"/>
      <c r="J90" s="18"/>
      <c r="K90" s="18"/>
      <c r="L90" s="18"/>
      <c r="M90" s="18"/>
      <c r="N90" s="18"/>
      <c r="O90" s="18"/>
      <c r="P90" s="18"/>
      <c r="Q90" s="18"/>
      <c r="R90" s="18"/>
      <c r="S90" s="18"/>
      <c r="T90" s="18"/>
      <c r="U90" s="18"/>
      <c r="V90" s="18"/>
      <c r="W90" s="18"/>
      <c r="X90" s="18"/>
    </row>
    <row r="91" spans="1:24" x14ac:dyDescent="0.2">
      <c r="A91" s="73" t="s">
        <v>29</v>
      </c>
      <c r="B91" s="74"/>
      <c r="C91" s="74"/>
      <c r="D91" s="74"/>
      <c r="E91" s="75">
        <f>E86</f>
        <v>2020</v>
      </c>
      <c r="F91" s="75">
        <f t="shared" ref="F91:X91" si="241">F86</f>
        <v>2021</v>
      </c>
      <c r="G91" s="75">
        <f t="shared" si="241"/>
        <v>2022</v>
      </c>
      <c r="H91" s="75">
        <f t="shared" si="241"/>
        <v>2023</v>
      </c>
      <c r="I91" s="75">
        <f t="shared" si="241"/>
        <v>2024</v>
      </c>
      <c r="J91" s="75">
        <f t="shared" si="241"/>
        <v>2025</v>
      </c>
      <c r="K91" s="75">
        <f t="shared" si="241"/>
        <v>2026</v>
      </c>
      <c r="L91" s="75">
        <f t="shared" si="241"/>
        <v>2027</v>
      </c>
      <c r="M91" s="75">
        <f t="shared" si="241"/>
        <v>2028</v>
      </c>
      <c r="N91" s="75">
        <f t="shared" si="241"/>
        <v>2029</v>
      </c>
      <c r="O91" s="75">
        <f t="shared" si="241"/>
        <v>2030</v>
      </c>
      <c r="P91" s="75">
        <f t="shared" si="241"/>
        <v>2031</v>
      </c>
      <c r="Q91" s="75">
        <f t="shared" si="241"/>
        <v>2032</v>
      </c>
      <c r="R91" s="75">
        <f t="shared" si="241"/>
        <v>2033</v>
      </c>
      <c r="S91" s="75">
        <f t="shared" si="241"/>
        <v>2034</v>
      </c>
      <c r="T91" s="75">
        <f t="shared" si="241"/>
        <v>2035</v>
      </c>
      <c r="U91" s="75">
        <f t="shared" si="241"/>
        <v>2036</v>
      </c>
      <c r="V91" s="75">
        <f t="shared" si="241"/>
        <v>2037</v>
      </c>
      <c r="W91" s="75">
        <f t="shared" si="241"/>
        <v>2038</v>
      </c>
      <c r="X91" s="75">
        <f t="shared" si="241"/>
        <v>2039</v>
      </c>
    </row>
    <row r="92" spans="1:24" x14ac:dyDescent="0.2">
      <c r="A92" s="9" t="s">
        <v>104</v>
      </c>
      <c r="B92" s="8"/>
      <c r="C92" s="8"/>
      <c r="D92" s="8"/>
      <c r="E92" s="307">
        <v>0.93446310349533057</v>
      </c>
      <c r="F92" s="84">
        <f t="shared" ref="F92" si="242">E92</f>
        <v>0.93446310349533057</v>
      </c>
      <c r="G92" s="84">
        <f t="shared" ref="G92:G93" si="243">F92</f>
        <v>0.93446310349533057</v>
      </c>
      <c r="H92" s="84">
        <f t="shared" ref="H92:H93" si="244">G92</f>
        <v>0.93446310349533057</v>
      </c>
      <c r="I92" s="84">
        <f t="shared" ref="I92:I93" si="245">H92</f>
        <v>0.93446310349533057</v>
      </c>
      <c r="J92" s="84">
        <f t="shared" ref="J92:J93" si="246">I92</f>
        <v>0.93446310349533057</v>
      </c>
      <c r="K92" s="84">
        <f t="shared" ref="K92:K93" si="247">J92</f>
        <v>0.93446310349533057</v>
      </c>
      <c r="L92" s="84">
        <f t="shared" ref="L92:L93" si="248">K92</f>
        <v>0.93446310349533057</v>
      </c>
      <c r="M92" s="84">
        <f t="shared" ref="M92:M93" si="249">L92</f>
        <v>0.93446310349533057</v>
      </c>
      <c r="N92" s="84">
        <f t="shared" ref="N92:N93" si="250">M92</f>
        <v>0.93446310349533057</v>
      </c>
      <c r="O92" s="84">
        <f t="shared" ref="O92:O93" si="251">N92</f>
        <v>0.93446310349533057</v>
      </c>
      <c r="P92" s="84">
        <f t="shared" ref="P92:P93" si="252">O92</f>
        <v>0.93446310349533057</v>
      </c>
      <c r="Q92" s="84">
        <f t="shared" ref="Q92:Q93" si="253">P92</f>
        <v>0.93446310349533057</v>
      </c>
      <c r="R92" s="84">
        <f t="shared" ref="R92:R93" si="254">Q92</f>
        <v>0.93446310349533057</v>
      </c>
      <c r="S92" s="84">
        <f t="shared" ref="S92:S93" si="255">R92</f>
        <v>0.93446310349533057</v>
      </c>
      <c r="T92" s="84">
        <f t="shared" ref="T92:T93" si="256">S92</f>
        <v>0.93446310349533057</v>
      </c>
      <c r="U92" s="84">
        <f t="shared" ref="U92:U93" si="257">T92</f>
        <v>0.93446310349533057</v>
      </c>
      <c r="V92" s="84">
        <f t="shared" ref="V92:V93" si="258">U92</f>
        <v>0.93446310349533057</v>
      </c>
      <c r="W92" s="84">
        <f t="shared" ref="W92:W93" si="259">V92</f>
        <v>0.93446310349533057</v>
      </c>
      <c r="X92" s="84">
        <f t="shared" ref="X92:X93" si="260">W92</f>
        <v>0.93446310349533057</v>
      </c>
    </row>
    <row r="93" spans="1:24" x14ac:dyDescent="0.2">
      <c r="A93" s="63" t="s">
        <v>30</v>
      </c>
      <c r="B93" s="17"/>
      <c r="C93" s="17"/>
      <c r="D93" s="17"/>
      <c r="E93" s="308">
        <v>6.5536896504669442E-2</v>
      </c>
      <c r="F93" s="85">
        <f t="shared" ref="F93" si="261">E93</f>
        <v>6.5536896504669442E-2</v>
      </c>
      <c r="G93" s="85">
        <f t="shared" si="243"/>
        <v>6.5536896504669442E-2</v>
      </c>
      <c r="H93" s="85">
        <f t="shared" si="244"/>
        <v>6.5536896504669442E-2</v>
      </c>
      <c r="I93" s="85">
        <f t="shared" si="245"/>
        <v>6.5536896504669442E-2</v>
      </c>
      <c r="J93" s="85">
        <f t="shared" si="246"/>
        <v>6.5536896504669442E-2</v>
      </c>
      <c r="K93" s="85">
        <f t="shared" si="247"/>
        <v>6.5536896504669442E-2</v>
      </c>
      <c r="L93" s="85">
        <f t="shared" si="248"/>
        <v>6.5536896504669442E-2</v>
      </c>
      <c r="M93" s="85">
        <f t="shared" si="249"/>
        <v>6.5536896504669442E-2</v>
      </c>
      <c r="N93" s="85">
        <f t="shared" si="250"/>
        <v>6.5536896504669442E-2</v>
      </c>
      <c r="O93" s="85">
        <f t="shared" si="251"/>
        <v>6.5536896504669442E-2</v>
      </c>
      <c r="P93" s="85">
        <f t="shared" si="252"/>
        <v>6.5536896504669442E-2</v>
      </c>
      <c r="Q93" s="85">
        <f t="shared" si="253"/>
        <v>6.5536896504669442E-2</v>
      </c>
      <c r="R93" s="85">
        <f t="shared" si="254"/>
        <v>6.5536896504669442E-2</v>
      </c>
      <c r="S93" s="85">
        <f t="shared" si="255"/>
        <v>6.5536896504669442E-2</v>
      </c>
      <c r="T93" s="85">
        <f t="shared" si="256"/>
        <v>6.5536896504669442E-2</v>
      </c>
      <c r="U93" s="85">
        <f t="shared" si="257"/>
        <v>6.5536896504669442E-2</v>
      </c>
      <c r="V93" s="85">
        <f t="shared" si="258"/>
        <v>6.5536896504669442E-2</v>
      </c>
      <c r="W93" s="85">
        <f t="shared" si="259"/>
        <v>6.5536896504669442E-2</v>
      </c>
      <c r="X93" s="85">
        <f t="shared" si="260"/>
        <v>6.5536896504669442E-2</v>
      </c>
    </row>
    <row r="94" spans="1:24" s="13" customFormat="1" x14ac:dyDescent="0.2">
      <c r="A94" s="12"/>
      <c r="E94" s="18"/>
      <c r="F94" s="18"/>
      <c r="G94" s="18"/>
      <c r="H94" s="18"/>
      <c r="I94" s="18"/>
      <c r="J94" s="18"/>
      <c r="K94" s="18"/>
      <c r="L94" s="18"/>
      <c r="M94" s="18"/>
      <c r="N94" s="18"/>
      <c r="O94" s="18"/>
      <c r="P94" s="18"/>
      <c r="Q94" s="18"/>
      <c r="R94" s="18"/>
      <c r="S94" s="18"/>
      <c r="T94" s="18"/>
      <c r="U94" s="18"/>
      <c r="V94" s="18"/>
      <c r="W94" s="18"/>
      <c r="X94" s="18"/>
    </row>
    <row r="95" spans="1:24" x14ac:dyDescent="0.2">
      <c r="A95" s="73" t="s">
        <v>139</v>
      </c>
      <c r="B95" s="74"/>
      <c r="C95" s="74"/>
      <c r="D95" s="74"/>
      <c r="E95" s="75">
        <f t="shared" ref="E95:V95" si="262">E91</f>
        <v>2020</v>
      </c>
      <c r="F95" s="75">
        <f t="shared" si="262"/>
        <v>2021</v>
      </c>
      <c r="G95" s="75">
        <f t="shared" si="262"/>
        <v>2022</v>
      </c>
      <c r="H95" s="75">
        <f t="shared" si="262"/>
        <v>2023</v>
      </c>
      <c r="I95" s="75">
        <f t="shared" si="262"/>
        <v>2024</v>
      </c>
      <c r="J95" s="75">
        <f t="shared" si="262"/>
        <v>2025</v>
      </c>
      <c r="K95" s="75">
        <f t="shared" si="262"/>
        <v>2026</v>
      </c>
      <c r="L95" s="75">
        <f t="shared" si="262"/>
        <v>2027</v>
      </c>
      <c r="M95" s="75">
        <f t="shared" si="262"/>
        <v>2028</v>
      </c>
      <c r="N95" s="75">
        <f t="shared" si="262"/>
        <v>2029</v>
      </c>
      <c r="O95" s="75">
        <f t="shared" si="262"/>
        <v>2030</v>
      </c>
      <c r="P95" s="75">
        <f t="shared" si="262"/>
        <v>2031</v>
      </c>
      <c r="Q95" s="75">
        <f t="shared" si="262"/>
        <v>2032</v>
      </c>
      <c r="R95" s="75">
        <f t="shared" si="262"/>
        <v>2033</v>
      </c>
      <c r="S95" s="75">
        <f t="shared" si="262"/>
        <v>2034</v>
      </c>
      <c r="T95" s="75">
        <f t="shared" si="262"/>
        <v>2035</v>
      </c>
      <c r="U95" s="75">
        <f t="shared" si="262"/>
        <v>2036</v>
      </c>
      <c r="V95" s="75">
        <f t="shared" si="262"/>
        <v>2037</v>
      </c>
      <c r="W95" s="75">
        <f t="shared" ref="W95:X95" si="263">W91</f>
        <v>2038</v>
      </c>
      <c r="X95" s="75">
        <f t="shared" si="263"/>
        <v>2039</v>
      </c>
    </row>
    <row r="96" spans="1:24" x14ac:dyDescent="0.2">
      <c r="A96" s="9" t="s">
        <v>31</v>
      </c>
      <c r="B96" s="8"/>
      <c r="C96" s="8"/>
      <c r="D96" s="8"/>
      <c r="E96" s="307">
        <v>0.89543608452322854</v>
      </c>
      <c r="F96" s="84">
        <f t="shared" ref="F96" si="264">E96</f>
        <v>0.89543608452322854</v>
      </c>
      <c r="G96" s="84">
        <f t="shared" ref="G96:G97" si="265">F96</f>
        <v>0.89543608452322854</v>
      </c>
      <c r="H96" s="84">
        <f t="shared" ref="H96:H97" si="266">G96</f>
        <v>0.89543608452322854</v>
      </c>
      <c r="I96" s="84">
        <f t="shared" ref="I96:I97" si="267">H96</f>
        <v>0.89543608452322854</v>
      </c>
      <c r="J96" s="84">
        <f t="shared" ref="J96:J97" si="268">I96</f>
        <v>0.89543608452322854</v>
      </c>
      <c r="K96" s="84">
        <f t="shared" ref="K96:K97" si="269">J96</f>
        <v>0.89543608452322854</v>
      </c>
      <c r="L96" s="84">
        <f t="shared" ref="L96:L97" si="270">K96</f>
        <v>0.89543608452322854</v>
      </c>
      <c r="M96" s="84">
        <f t="shared" ref="M96:M97" si="271">L96</f>
        <v>0.89543608452322854</v>
      </c>
      <c r="N96" s="84">
        <f t="shared" ref="N96:N97" si="272">M96</f>
        <v>0.89543608452322854</v>
      </c>
      <c r="O96" s="84">
        <f t="shared" ref="O96:O97" si="273">N96</f>
        <v>0.89543608452322854</v>
      </c>
      <c r="P96" s="84">
        <f t="shared" ref="P96:P97" si="274">O96</f>
        <v>0.89543608452322854</v>
      </c>
      <c r="Q96" s="84">
        <f t="shared" ref="Q96:Q97" si="275">P96</f>
        <v>0.89543608452322854</v>
      </c>
      <c r="R96" s="84">
        <f t="shared" ref="R96:R97" si="276">Q96</f>
        <v>0.89543608452322854</v>
      </c>
      <c r="S96" s="84">
        <f t="shared" ref="S96:S97" si="277">R96</f>
        <v>0.89543608452322854</v>
      </c>
      <c r="T96" s="84">
        <f t="shared" ref="T96:T97" si="278">S96</f>
        <v>0.89543608452322854</v>
      </c>
      <c r="U96" s="84">
        <f t="shared" ref="U96:U97" si="279">T96</f>
        <v>0.89543608452322854</v>
      </c>
      <c r="V96" s="84">
        <f t="shared" ref="V96:V97" si="280">U96</f>
        <v>0.89543608452322854</v>
      </c>
      <c r="W96" s="84">
        <f t="shared" ref="W96:W97" si="281">V96</f>
        <v>0.89543608452322854</v>
      </c>
      <c r="X96" s="84">
        <f t="shared" ref="X96:X97" si="282">W96</f>
        <v>0.89543608452322854</v>
      </c>
    </row>
    <row r="97" spans="1:24" x14ac:dyDescent="0.2">
      <c r="A97" s="63" t="s">
        <v>30</v>
      </c>
      <c r="B97" s="17"/>
      <c r="C97" s="17"/>
      <c r="D97" s="17"/>
      <c r="E97" s="308">
        <v>0.10456391547677155</v>
      </c>
      <c r="F97" s="85">
        <f t="shared" ref="F97" si="283">E97</f>
        <v>0.10456391547677155</v>
      </c>
      <c r="G97" s="85">
        <f t="shared" si="265"/>
        <v>0.10456391547677155</v>
      </c>
      <c r="H97" s="85">
        <f t="shared" si="266"/>
        <v>0.10456391547677155</v>
      </c>
      <c r="I97" s="85">
        <f t="shared" si="267"/>
        <v>0.10456391547677155</v>
      </c>
      <c r="J97" s="85">
        <f t="shared" si="268"/>
        <v>0.10456391547677155</v>
      </c>
      <c r="K97" s="85">
        <f t="shared" si="269"/>
        <v>0.10456391547677155</v>
      </c>
      <c r="L97" s="85">
        <f t="shared" si="270"/>
        <v>0.10456391547677155</v>
      </c>
      <c r="M97" s="85">
        <f t="shared" si="271"/>
        <v>0.10456391547677155</v>
      </c>
      <c r="N97" s="85">
        <f t="shared" si="272"/>
        <v>0.10456391547677155</v>
      </c>
      <c r="O97" s="85">
        <f t="shared" si="273"/>
        <v>0.10456391547677155</v>
      </c>
      <c r="P97" s="85">
        <f t="shared" si="274"/>
        <v>0.10456391547677155</v>
      </c>
      <c r="Q97" s="85">
        <f t="shared" si="275"/>
        <v>0.10456391547677155</v>
      </c>
      <c r="R97" s="85">
        <f t="shared" si="276"/>
        <v>0.10456391547677155</v>
      </c>
      <c r="S97" s="85">
        <f t="shared" si="277"/>
        <v>0.10456391547677155</v>
      </c>
      <c r="T97" s="85">
        <f t="shared" si="278"/>
        <v>0.10456391547677155</v>
      </c>
      <c r="U97" s="85">
        <f t="shared" si="279"/>
        <v>0.10456391547677155</v>
      </c>
      <c r="V97" s="85">
        <f t="shared" si="280"/>
        <v>0.10456391547677155</v>
      </c>
      <c r="W97" s="85">
        <f t="shared" si="281"/>
        <v>0.10456391547677155</v>
      </c>
      <c r="X97" s="85">
        <f t="shared" si="282"/>
        <v>0.10456391547677155</v>
      </c>
    </row>
    <row r="98" spans="1:24" x14ac:dyDescent="0.2">
      <c r="A98" s="13"/>
      <c r="E98" s="70"/>
      <c r="F98" s="70"/>
      <c r="G98" s="70"/>
      <c r="H98" s="70"/>
      <c r="I98" s="70"/>
      <c r="J98" s="70"/>
      <c r="K98" s="70"/>
      <c r="L98" s="70"/>
      <c r="M98" s="70"/>
      <c r="N98" s="70"/>
      <c r="O98" s="70"/>
      <c r="P98" s="70"/>
      <c r="Q98" s="70"/>
      <c r="R98" s="70"/>
      <c r="S98" s="70"/>
      <c r="T98" s="70"/>
      <c r="U98" s="70"/>
      <c r="V98" s="70"/>
      <c r="W98" s="70"/>
      <c r="X98" s="70"/>
    </row>
    <row r="99" spans="1:24" x14ac:dyDescent="0.2">
      <c r="A99" s="73" t="s">
        <v>18</v>
      </c>
      <c r="B99" s="74"/>
      <c r="C99" s="74"/>
      <c r="D99" s="74"/>
      <c r="E99" s="75">
        <f t="shared" ref="E99:V99" si="284">E95</f>
        <v>2020</v>
      </c>
      <c r="F99" s="75">
        <f t="shared" si="284"/>
        <v>2021</v>
      </c>
      <c r="G99" s="75">
        <f t="shared" si="284"/>
        <v>2022</v>
      </c>
      <c r="H99" s="75">
        <f t="shared" si="284"/>
        <v>2023</v>
      </c>
      <c r="I99" s="75">
        <f t="shared" si="284"/>
        <v>2024</v>
      </c>
      <c r="J99" s="75">
        <f t="shared" si="284"/>
        <v>2025</v>
      </c>
      <c r="K99" s="75">
        <f t="shared" si="284"/>
        <v>2026</v>
      </c>
      <c r="L99" s="75">
        <f t="shared" si="284"/>
        <v>2027</v>
      </c>
      <c r="M99" s="75">
        <f t="shared" si="284"/>
        <v>2028</v>
      </c>
      <c r="N99" s="75">
        <f t="shared" si="284"/>
        <v>2029</v>
      </c>
      <c r="O99" s="75">
        <f t="shared" si="284"/>
        <v>2030</v>
      </c>
      <c r="P99" s="75">
        <f t="shared" si="284"/>
        <v>2031</v>
      </c>
      <c r="Q99" s="75">
        <f t="shared" si="284"/>
        <v>2032</v>
      </c>
      <c r="R99" s="75">
        <f t="shared" si="284"/>
        <v>2033</v>
      </c>
      <c r="S99" s="75">
        <f t="shared" si="284"/>
        <v>2034</v>
      </c>
      <c r="T99" s="75">
        <f t="shared" si="284"/>
        <v>2035</v>
      </c>
      <c r="U99" s="75">
        <f t="shared" si="284"/>
        <v>2036</v>
      </c>
      <c r="V99" s="75">
        <f t="shared" si="284"/>
        <v>2037</v>
      </c>
      <c r="W99" s="75">
        <f t="shared" ref="W99:X99" si="285">W95</f>
        <v>2038</v>
      </c>
      <c r="X99" s="75">
        <f t="shared" si="285"/>
        <v>2039</v>
      </c>
    </row>
    <row r="100" spans="1:24" x14ac:dyDescent="0.2">
      <c r="A100" s="77" t="s">
        <v>32</v>
      </c>
      <c r="B100" s="8"/>
      <c r="C100" s="8"/>
      <c r="D100" s="8"/>
      <c r="E100" s="307">
        <v>0.16160860961634857</v>
      </c>
      <c r="F100" s="84">
        <f t="shared" ref="F100" si="286">E100</f>
        <v>0.16160860961634857</v>
      </c>
      <c r="G100" s="84">
        <f t="shared" ref="G100:G104" si="287">F100</f>
        <v>0.16160860961634857</v>
      </c>
      <c r="H100" s="84">
        <f t="shared" ref="H100:H104" si="288">G100</f>
        <v>0.16160860961634857</v>
      </c>
      <c r="I100" s="84">
        <f t="shared" ref="I100:I104" si="289">H100</f>
        <v>0.16160860961634857</v>
      </c>
      <c r="J100" s="84">
        <f t="shared" ref="J100:J104" si="290">I100</f>
        <v>0.16160860961634857</v>
      </c>
      <c r="K100" s="84">
        <f t="shared" ref="K100:K104" si="291">J100</f>
        <v>0.16160860961634857</v>
      </c>
      <c r="L100" s="84">
        <f t="shared" ref="L100:L104" si="292">K100</f>
        <v>0.16160860961634857</v>
      </c>
      <c r="M100" s="84">
        <f t="shared" ref="M100:M104" si="293">L100</f>
        <v>0.16160860961634857</v>
      </c>
      <c r="N100" s="84">
        <f t="shared" ref="N100:N104" si="294">M100</f>
        <v>0.16160860961634857</v>
      </c>
      <c r="O100" s="84">
        <f t="shared" ref="O100:O104" si="295">N100</f>
        <v>0.16160860961634857</v>
      </c>
      <c r="P100" s="84">
        <f t="shared" ref="P100:P104" si="296">O100</f>
        <v>0.16160860961634857</v>
      </c>
      <c r="Q100" s="84">
        <f t="shared" ref="Q100:Q104" si="297">P100</f>
        <v>0.16160860961634857</v>
      </c>
      <c r="R100" s="84">
        <f t="shared" ref="R100:R104" si="298">Q100</f>
        <v>0.16160860961634857</v>
      </c>
      <c r="S100" s="84">
        <f t="shared" ref="S100:S104" si="299">R100</f>
        <v>0.16160860961634857</v>
      </c>
      <c r="T100" s="84">
        <f t="shared" ref="T100:T104" si="300">S100</f>
        <v>0.16160860961634857</v>
      </c>
      <c r="U100" s="84">
        <f t="shared" ref="U100:U104" si="301">T100</f>
        <v>0.16160860961634857</v>
      </c>
      <c r="V100" s="84">
        <f t="shared" ref="V100:V104" si="302">U100</f>
        <v>0.16160860961634857</v>
      </c>
      <c r="W100" s="84">
        <f t="shared" ref="W100:W104" si="303">V100</f>
        <v>0.16160860961634857</v>
      </c>
      <c r="X100" s="84">
        <f t="shared" ref="X100:X104" si="304">W100</f>
        <v>0.16160860961634857</v>
      </c>
    </row>
    <row r="101" spans="1:24" x14ac:dyDescent="0.2">
      <c r="A101" s="207" t="s">
        <v>143</v>
      </c>
      <c r="B101" s="17"/>
      <c r="C101" s="17"/>
      <c r="D101" s="17"/>
      <c r="E101" s="308">
        <v>0.362000486065156</v>
      </c>
      <c r="F101" s="85">
        <f t="shared" ref="F101" si="305">E101</f>
        <v>0.362000486065156</v>
      </c>
      <c r="G101" s="85">
        <f t="shared" si="287"/>
        <v>0.362000486065156</v>
      </c>
      <c r="H101" s="85">
        <f t="shared" si="288"/>
        <v>0.362000486065156</v>
      </c>
      <c r="I101" s="85">
        <f t="shared" si="289"/>
        <v>0.362000486065156</v>
      </c>
      <c r="J101" s="85">
        <f t="shared" si="290"/>
        <v>0.362000486065156</v>
      </c>
      <c r="K101" s="85">
        <f t="shared" si="291"/>
        <v>0.362000486065156</v>
      </c>
      <c r="L101" s="85">
        <f t="shared" si="292"/>
        <v>0.362000486065156</v>
      </c>
      <c r="M101" s="85">
        <f t="shared" si="293"/>
        <v>0.362000486065156</v>
      </c>
      <c r="N101" s="85">
        <f t="shared" si="294"/>
        <v>0.362000486065156</v>
      </c>
      <c r="O101" s="85">
        <f t="shared" si="295"/>
        <v>0.362000486065156</v>
      </c>
      <c r="P101" s="85">
        <f t="shared" si="296"/>
        <v>0.362000486065156</v>
      </c>
      <c r="Q101" s="85">
        <f t="shared" si="297"/>
        <v>0.362000486065156</v>
      </c>
      <c r="R101" s="85">
        <f t="shared" si="298"/>
        <v>0.362000486065156</v>
      </c>
      <c r="S101" s="85">
        <f t="shared" si="299"/>
        <v>0.362000486065156</v>
      </c>
      <c r="T101" s="85">
        <f t="shared" si="300"/>
        <v>0.362000486065156</v>
      </c>
      <c r="U101" s="85">
        <f t="shared" si="301"/>
        <v>0.362000486065156</v>
      </c>
      <c r="V101" s="85">
        <f t="shared" si="302"/>
        <v>0.362000486065156</v>
      </c>
      <c r="W101" s="85">
        <f t="shared" si="303"/>
        <v>0.362000486065156</v>
      </c>
      <c r="X101" s="85">
        <f t="shared" si="304"/>
        <v>0.362000486065156</v>
      </c>
    </row>
    <row r="102" spans="1:24" x14ac:dyDescent="0.2">
      <c r="A102" s="207" t="s">
        <v>144</v>
      </c>
      <c r="B102" s="17"/>
      <c r="C102" s="17"/>
      <c r="D102" s="17"/>
      <c r="E102" s="308">
        <v>0.20196451048755554</v>
      </c>
      <c r="F102" s="85">
        <f t="shared" ref="F102" si="306">E102</f>
        <v>0.20196451048755554</v>
      </c>
      <c r="G102" s="85">
        <f t="shared" si="287"/>
        <v>0.20196451048755554</v>
      </c>
      <c r="H102" s="85">
        <f t="shared" si="288"/>
        <v>0.20196451048755554</v>
      </c>
      <c r="I102" s="85">
        <f t="shared" si="289"/>
        <v>0.20196451048755554</v>
      </c>
      <c r="J102" s="85">
        <f t="shared" si="290"/>
        <v>0.20196451048755554</v>
      </c>
      <c r="K102" s="85">
        <f t="shared" si="291"/>
        <v>0.20196451048755554</v>
      </c>
      <c r="L102" s="85">
        <f t="shared" si="292"/>
        <v>0.20196451048755554</v>
      </c>
      <c r="M102" s="85">
        <f t="shared" si="293"/>
        <v>0.20196451048755554</v>
      </c>
      <c r="N102" s="85">
        <f t="shared" si="294"/>
        <v>0.20196451048755554</v>
      </c>
      <c r="O102" s="85">
        <f t="shared" si="295"/>
        <v>0.20196451048755554</v>
      </c>
      <c r="P102" s="85">
        <f t="shared" si="296"/>
        <v>0.20196451048755554</v>
      </c>
      <c r="Q102" s="85">
        <f t="shared" si="297"/>
        <v>0.20196451048755554</v>
      </c>
      <c r="R102" s="85">
        <f t="shared" si="298"/>
        <v>0.20196451048755554</v>
      </c>
      <c r="S102" s="85">
        <f t="shared" si="299"/>
        <v>0.20196451048755554</v>
      </c>
      <c r="T102" s="85">
        <f t="shared" si="300"/>
        <v>0.20196451048755554</v>
      </c>
      <c r="U102" s="85">
        <f t="shared" si="301"/>
        <v>0.20196451048755554</v>
      </c>
      <c r="V102" s="85">
        <f t="shared" si="302"/>
        <v>0.20196451048755554</v>
      </c>
      <c r="W102" s="85">
        <f t="shared" si="303"/>
        <v>0.20196451048755554</v>
      </c>
      <c r="X102" s="85">
        <f t="shared" si="304"/>
        <v>0.20196451048755554</v>
      </c>
    </row>
    <row r="103" spans="1:24" x14ac:dyDescent="0.2">
      <c r="A103" s="207" t="s">
        <v>145</v>
      </c>
      <c r="B103" s="17"/>
      <c r="C103" s="17"/>
      <c r="D103" s="17"/>
      <c r="E103" s="308">
        <v>0.16931935407175511</v>
      </c>
      <c r="F103" s="85">
        <f t="shared" ref="F103" si="307">E103</f>
        <v>0.16931935407175511</v>
      </c>
      <c r="G103" s="85">
        <f t="shared" si="287"/>
        <v>0.16931935407175511</v>
      </c>
      <c r="H103" s="85">
        <f t="shared" si="288"/>
        <v>0.16931935407175511</v>
      </c>
      <c r="I103" s="85">
        <f t="shared" si="289"/>
        <v>0.16931935407175511</v>
      </c>
      <c r="J103" s="85">
        <f t="shared" si="290"/>
        <v>0.16931935407175511</v>
      </c>
      <c r="K103" s="85">
        <f t="shared" si="291"/>
        <v>0.16931935407175511</v>
      </c>
      <c r="L103" s="85">
        <f t="shared" si="292"/>
        <v>0.16931935407175511</v>
      </c>
      <c r="M103" s="85">
        <f t="shared" si="293"/>
        <v>0.16931935407175511</v>
      </c>
      <c r="N103" s="85">
        <f t="shared" si="294"/>
        <v>0.16931935407175511</v>
      </c>
      <c r="O103" s="85">
        <f t="shared" si="295"/>
        <v>0.16931935407175511</v>
      </c>
      <c r="P103" s="85">
        <f t="shared" si="296"/>
        <v>0.16931935407175511</v>
      </c>
      <c r="Q103" s="85">
        <f t="shared" si="297"/>
        <v>0.16931935407175511</v>
      </c>
      <c r="R103" s="85">
        <f t="shared" si="298"/>
        <v>0.16931935407175511</v>
      </c>
      <c r="S103" s="85">
        <f t="shared" si="299"/>
        <v>0.16931935407175511</v>
      </c>
      <c r="T103" s="85">
        <f t="shared" si="300"/>
        <v>0.16931935407175511</v>
      </c>
      <c r="U103" s="85">
        <f t="shared" si="301"/>
        <v>0.16931935407175511</v>
      </c>
      <c r="V103" s="85">
        <f t="shared" si="302"/>
        <v>0.16931935407175511</v>
      </c>
      <c r="W103" s="85">
        <f t="shared" si="303"/>
        <v>0.16931935407175511</v>
      </c>
      <c r="X103" s="85">
        <f t="shared" si="304"/>
        <v>0.16931935407175511</v>
      </c>
    </row>
    <row r="104" spans="1:24" x14ac:dyDescent="0.2">
      <c r="A104" s="208" t="s">
        <v>146</v>
      </c>
      <c r="B104" s="17"/>
      <c r="C104" s="17"/>
      <c r="D104" s="17"/>
      <c r="E104" s="308">
        <v>0.10510703975918477</v>
      </c>
      <c r="F104" s="85">
        <f t="shared" ref="F104" si="308">E104</f>
        <v>0.10510703975918477</v>
      </c>
      <c r="G104" s="85">
        <f t="shared" si="287"/>
        <v>0.10510703975918477</v>
      </c>
      <c r="H104" s="85">
        <f t="shared" si="288"/>
        <v>0.10510703975918477</v>
      </c>
      <c r="I104" s="85">
        <f t="shared" si="289"/>
        <v>0.10510703975918477</v>
      </c>
      <c r="J104" s="85">
        <f t="shared" si="290"/>
        <v>0.10510703975918477</v>
      </c>
      <c r="K104" s="85">
        <f t="shared" si="291"/>
        <v>0.10510703975918477</v>
      </c>
      <c r="L104" s="85">
        <f t="shared" si="292"/>
        <v>0.10510703975918477</v>
      </c>
      <c r="M104" s="85">
        <f t="shared" si="293"/>
        <v>0.10510703975918477</v>
      </c>
      <c r="N104" s="85">
        <f t="shared" si="294"/>
        <v>0.10510703975918477</v>
      </c>
      <c r="O104" s="85">
        <f t="shared" si="295"/>
        <v>0.10510703975918477</v>
      </c>
      <c r="P104" s="85">
        <f t="shared" si="296"/>
        <v>0.10510703975918477</v>
      </c>
      <c r="Q104" s="85">
        <f t="shared" si="297"/>
        <v>0.10510703975918477</v>
      </c>
      <c r="R104" s="85">
        <f t="shared" si="298"/>
        <v>0.10510703975918477</v>
      </c>
      <c r="S104" s="85">
        <f t="shared" si="299"/>
        <v>0.10510703975918477</v>
      </c>
      <c r="T104" s="85">
        <f t="shared" si="300"/>
        <v>0.10510703975918477</v>
      </c>
      <c r="U104" s="85">
        <f t="shared" si="301"/>
        <v>0.10510703975918477</v>
      </c>
      <c r="V104" s="85">
        <f t="shared" si="302"/>
        <v>0.10510703975918477</v>
      </c>
      <c r="W104" s="85">
        <f t="shared" si="303"/>
        <v>0.10510703975918477</v>
      </c>
      <c r="X104" s="85">
        <f t="shared" si="304"/>
        <v>0.10510703975918477</v>
      </c>
    </row>
    <row r="105" spans="1:24" x14ac:dyDescent="0.2">
      <c r="A105" s="275"/>
      <c r="E105" s="276"/>
      <c r="F105" s="276"/>
      <c r="G105" s="276"/>
      <c r="H105" s="276"/>
      <c r="I105" s="276"/>
      <c r="J105" s="276"/>
      <c r="K105" s="276"/>
      <c r="L105" s="276"/>
      <c r="M105" s="276"/>
      <c r="N105" s="276"/>
      <c r="O105" s="276"/>
      <c r="P105" s="276"/>
      <c r="Q105" s="276"/>
      <c r="R105" s="276"/>
      <c r="S105" s="276"/>
      <c r="T105" s="276"/>
      <c r="U105" s="276"/>
      <c r="V105" s="276"/>
      <c r="W105" s="276"/>
      <c r="X105" s="276"/>
    </row>
    <row r="106" spans="1:24" s="215" customFormat="1" x14ac:dyDescent="0.2">
      <c r="A106" s="23" t="s">
        <v>244</v>
      </c>
      <c r="B106" s="212"/>
      <c r="C106" s="212"/>
      <c r="D106" s="212"/>
      <c r="E106" s="213"/>
      <c r="F106" s="213"/>
      <c r="G106" s="213"/>
      <c r="H106" s="213"/>
      <c r="I106" s="213"/>
      <c r="J106" s="213"/>
      <c r="K106" s="213"/>
      <c r="L106" s="213"/>
      <c r="M106" s="213"/>
      <c r="N106" s="213"/>
      <c r="O106" s="213"/>
      <c r="P106" s="213"/>
      <c r="Q106" s="213"/>
      <c r="R106" s="213"/>
      <c r="S106" s="213"/>
      <c r="T106" s="213"/>
      <c r="U106" s="213"/>
      <c r="V106" s="213"/>
      <c r="W106" s="214"/>
      <c r="X106" s="214"/>
    </row>
    <row r="108" spans="1:24" x14ac:dyDescent="0.2">
      <c r="A108" s="168" t="s">
        <v>17</v>
      </c>
      <c r="E108" s="183">
        <f>E86</f>
        <v>2020</v>
      </c>
      <c r="F108" s="183">
        <f t="shared" ref="F108:X108" si="309">F86</f>
        <v>2021</v>
      </c>
      <c r="G108" s="183">
        <f t="shared" si="309"/>
        <v>2022</v>
      </c>
      <c r="H108" s="183">
        <f t="shared" si="309"/>
        <v>2023</v>
      </c>
      <c r="I108" s="183">
        <f t="shared" si="309"/>
        <v>2024</v>
      </c>
      <c r="J108" s="183">
        <f t="shared" si="309"/>
        <v>2025</v>
      </c>
      <c r="K108" s="183">
        <f t="shared" si="309"/>
        <v>2026</v>
      </c>
      <c r="L108" s="183">
        <f t="shared" si="309"/>
        <v>2027</v>
      </c>
      <c r="M108" s="183">
        <f t="shared" si="309"/>
        <v>2028</v>
      </c>
      <c r="N108" s="183">
        <f t="shared" si="309"/>
        <v>2029</v>
      </c>
      <c r="O108" s="183">
        <f t="shared" si="309"/>
        <v>2030</v>
      </c>
      <c r="P108" s="183">
        <f t="shared" si="309"/>
        <v>2031</v>
      </c>
      <c r="Q108" s="183">
        <f t="shared" si="309"/>
        <v>2032</v>
      </c>
      <c r="R108" s="183">
        <f t="shared" si="309"/>
        <v>2033</v>
      </c>
      <c r="S108" s="183">
        <f t="shared" si="309"/>
        <v>2034</v>
      </c>
      <c r="T108" s="183">
        <f t="shared" si="309"/>
        <v>2035</v>
      </c>
      <c r="U108" s="183">
        <f t="shared" si="309"/>
        <v>2036</v>
      </c>
      <c r="V108" s="183">
        <f t="shared" si="309"/>
        <v>2037</v>
      </c>
      <c r="W108" s="183">
        <f t="shared" si="309"/>
        <v>2038</v>
      </c>
      <c r="X108" s="183">
        <f t="shared" si="309"/>
        <v>2039</v>
      </c>
    </row>
    <row r="109" spans="1:24" x14ac:dyDescent="0.2">
      <c r="A109" s="8" t="s">
        <v>222</v>
      </c>
      <c r="B109" s="8"/>
      <c r="C109" s="8"/>
      <c r="D109" s="8"/>
      <c r="E109" s="284">
        <v>0.5</v>
      </c>
      <c r="F109" s="277">
        <f>E109</f>
        <v>0.5</v>
      </c>
      <c r="G109" s="277">
        <f t="shared" ref="G109:X109" si="310">F109</f>
        <v>0.5</v>
      </c>
      <c r="H109" s="277">
        <f t="shared" si="310"/>
        <v>0.5</v>
      </c>
      <c r="I109" s="277">
        <f t="shared" si="310"/>
        <v>0.5</v>
      </c>
      <c r="J109" s="277">
        <f t="shared" si="310"/>
        <v>0.5</v>
      </c>
      <c r="K109" s="277">
        <f t="shared" si="310"/>
        <v>0.5</v>
      </c>
      <c r="L109" s="277">
        <f t="shared" si="310"/>
        <v>0.5</v>
      </c>
      <c r="M109" s="277">
        <f t="shared" si="310"/>
        <v>0.5</v>
      </c>
      <c r="N109" s="277">
        <f t="shared" si="310"/>
        <v>0.5</v>
      </c>
      <c r="O109" s="277">
        <f t="shared" si="310"/>
        <v>0.5</v>
      </c>
      <c r="P109" s="277">
        <f t="shared" si="310"/>
        <v>0.5</v>
      </c>
      <c r="Q109" s="277">
        <f t="shared" si="310"/>
        <v>0.5</v>
      </c>
      <c r="R109" s="277">
        <f t="shared" si="310"/>
        <v>0.5</v>
      </c>
      <c r="S109" s="277">
        <f t="shared" si="310"/>
        <v>0.5</v>
      </c>
      <c r="T109" s="277">
        <f t="shared" si="310"/>
        <v>0.5</v>
      </c>
      <c r="U109" s="277">
        <f t="shared" si="310"/>
        <v>0.5</v>
      </c>
      <c r="V109" s="277">
        <f t="shared" si="310"/>
        <v>0.5</v>
      </c>
      <c r="W109" s="277">
        <f t="shared" si="310"/>
        <v>0.5</v>
      </c>
      <c r="X109" s="277">
        <f t="shared" si="310"/>
        <v>0.5</v>
      </c>
    </row>
    <row r="110" spans="1:24" x14ac:dyDescent="0.2">
      <c r="A110" s="8" t="s">
        <v>221</v>
      </c>
      <c r="B110" s="8"/>
      <c r="C110" s="8"/>
      <c r="D110" s="8"/>
      <c r="E110" s="284">
        <f>1-E109</f>
        <v>0.5</v>
      </c>
      <c r="F110" s="277">
        <f>E110</f>
        <v>0.5</v>
      </c>
      <c r="G110" s="277">
        <f t="shared" ref="G110:X110" si="311">F110</f>
        <v>0.5</v>
      </c>
      <c r="H110" s="277">
        <f t="shared" si="311"/>
        <v>0.5</v>
      </c>
      <c r="I110" s="277">
        <f t="shared" si="311"/>
        <v>0.5</v>
      </c>
      <c r="J110" s="277">
        <f t="shared" si="311"/>
        <v>0.5</v>
      </c>
      <c r="K110" s="277">
        <f t="shared" si="311"/>
        <v>0.5</v>
      </c>
      <c r="L110" s="277">
        <f t="shared" si="311"/>
        <v>0.5</v>
      </c>
      <c r="M110" s="277">
        <f t="shared" si="311"/>
        <v>0.5</v>
      </c>
      <c r="N110" s="277">
        <f t="shared" si="311"/>
        <v>0.5</v>
      </c>
      <c r="O110" s="277">
        <f t="shared" si="311"/>
        <v>0.5</v>
      </c>
      <c r="P110" s="277">
        <f t="shared" si="311"/>
        <v>0.5</v>
      </c>
      <c r="Q110" s="277">
        <f t="shared" si="311"/>
        <v>0.5</v>
      </c>
      <c r="R110" s="277">
        <f t="shared" si="311"/>
        <v>0.5</v>
      </c>
      <c r="S110" s="277">
        <f t="shared" si="311"/>
        <v>0.5</v>
      </c>
      <c r="T110" s="277">
        <f t="shared" si="311"/>
        <v>0.5</v>
      </c>
      <c r="U110" s="277">
        <f t="shared" si="311"/>
        <v>0.5</v>
      </c>
      <c r="V110" s="277">
        <f t="shared" si="311"/>
        <v>0.5</v>
      </c>
      <c r="W110" s="277">
        <f t="shared" si="311"/>
        <v>0.5</v>
      </c>
      <c r="X110" s="277">
        <f t="shared" si="311"/>
        <v>0.5</v>
      </c>
    </row>
    <row r="112" spans="1:24" s="215" customFormat="1" x14ac:dyDescent="0.2">
      <c r="A112" s="23" t="s">
        <v>245</v>
      </c>
      <c r="B112" s="212"/>
      <c r="C112" s="212"/>
      <c r="D112" s="212"/>
      <c r="E112" s="213"/>
      <c r="F112" s="213"/>
      <c r="G112" s="213"/>
      <c r="H112" s="213"/>
      <c r="I112" s="213"/>
      <c r="J112" s="213"/>
      <c r="K112" s="213"/>
      <c r="L112" s="213"/>
      <c r="M112" s="213"/>
      <c r="N112" s="213"/>
      <c r="O112" s="213"/>
      <c r="P112" s="213"/>
      <c r="Q112" s="213"/>
      <c r="R112" s="213"/>
      <c r="S112" s="213"/>
      <c r="T112" s="213"/>
      <c r="U112" s="213"/>
      <c r="V112" s="213"/>
      <c r="W112" s="214"/>
      <c r="X112" s="214"/>
    </row>
    <row r="114" spans="1:24" x14ac:dyDescent="0.2">
      <c r="A114" s="168" t="s">
        <v>17</v>
      </c>
      <c r="E114" s="183">
        <f>E108</f>
        <v>2020</v>
      </c>
      <c r="F114" s="183">
        <f t="shared" ref="F114:X114" si="312">F108</f>
        <v>2021</v>
      </c>
      <c r="G114" s="183">
        <f t="shared" si="312"/>
        <v>2022</v>
      </c>
      <c r="H114" s="183">
        <f t="shared" si="312"/>
        <v>2023</v>
      </c>
      <c r="I114" s="183">
        <f t="shared" si="312"/>
        <v>2024</v>
      </c>
      <c r="J114" s="183">
        <f t="shared" si="312"/>
        <v>2025</v>
      </c>
      <c r="K114" s="183">
        <f t="shared" si="312"/>
        <v>2026</v>
      </c>
      <c r="L114" s="183">
        <f t="shared" si="312"/>
        <v>2027</v>
      </c>
      <c r="M114" s="183">
        <f t="shared" si="312"/>
        <v>2028</v>
      </c>
      <c r="N114" s="183">
        <f t="shared" si="312"/>
        <v>2029</v>
      </c>
      <c r="O114" s="183">
        <f t="shared" si="312"/>
        <v>2030</v>
      </c>
      <c r="P114" s="183">
        <f t="shared" si="312"/>
        <v>2031</v>
      </c>
      <c r="Q114" s="183">
        <f t="shared" si="312"/>
        <v>2032</v>
      </c>
      <c r="R114" s="183">
        <f t="shared" si="312"/>
        <v>2033</v>
      </c>
      <c r="S114" s="183">
        <f t="shared" si="312"/>
        <v>2034</v>
      </c>
      <c r="T114" s="183">
        <f t="shared" si="312"/>
        <v>2035</v>
      </c>
      <c r="U114" s="183">
        <f t="shared" si="312"/>
        <v>2036</v>
      </c>
      <c r="V114" s="183">
        <f t="shared" si="312"/>
        <v>2037</v>
      </c>
      <c r="W114" s="183">
        <f t="shared" si="312"/>
        <v>2038</v>
      </c>
      <c r="X114" s="183">
        <f t="shared" si="312"/>
        <v>2039</v>
      </c>
    </row>
    <row r="115" spans="1:24" x14ac:dyDescent="0.2">
      <c r="A115" s="8" t="s">
        <v>224</v>
      </c>
      <c r="B115" s="8"/>
      <c r="C115" s="8"/>
      <c r="D115" s="8"/>
      <c r="E115" s="284">
        <v>0.5</v>
      </c>
      <c r="F115" s="277">
        <f>E115</f>
        <v>0.5</v>
      </c>
      <c r="G115" s="277">
        <f t="shared" ref="G115:X115" si="313">F115</f>
        <v>0.5</v>
      </c>
      <c r="H115" s="277">
        <f t="shared" si="313"/>
        <v>0.5</v>
      </c>
      <c r="I115" s="277">
        <f t="shared" si="313"/>
        <v>0.5</v>
      </c>
      <c r="J115" s="277">
        <f t="shared" si="313"/>
        <v>0.5</v>
      </c>
      <c r="K115" s="277">
        <f t="shared" si="313"/>
        <v>0.5</v>
      </c>
      <c r="L115" s="277">
        <f t="shared" si="313"/>
        <v>0.5</v>
      </c>
      <c r="M115" s="277">
        <f t="shared" si="313"/>
        <v>0.5</v>
      </c>
      <c r="N115" s="277">
        <f t="shared" si="313"/>
        <v>0.5</v>
      </c>
      <c r="O115" s="277">
        <f t="shared" si="313"/>
        <v>0.5</v>
      </c>
      <c r="P115" s="277">
        <f t="shared" si="313"/>
        <v>0.5</v>
      </c>
      <c r="Q115" s="277">
        <f t="shared" si="313"/>
        <v>0.5</v>
      </c>
      <c r="R115" s="277">
        <f t="shared" si="313"/>
        <v>0.5</v>
      </c>
      <c r="S115" s="277">
        <f t="shared" si="313"/>
        <v>0.5</v>
      </c>
      <c r="T115" s="277">
        <f t="shared" si="313"/>
        <v>0.5</v>
      </c>
      <c r="U115" s="277">
        <f t="shared" si="313"/>
        <v>0.5</v>
      </c>
      <c r="V115" s="277">
        <f t="shared" si="313"/>
        <v>0.5</v>
      </c>
      <c r="W115" s="277">
        <f t="shared" si="313"/>
        <v>0.5</v>
      </c>
      <c r="X115" s="277">
        <f t="shared" si="313"/>
        <v>0.5</v>
      </c>
    </row>
    <row r="116" spans="1:24" x14ac:dyDescent="0.2">
      <c r="A116" s="8" t="s">
        <v>223</v>
      </c>
      <c r="B116" s="8"/>
      <c r="C116" s="8"/>
      <c r="D116" s="8"/>
      <c r="E116" s="284">
        <f>1-E115</f>
        <v>0.5</v>
      </c>
      <c r="F116" s="277">
        <f>E116</f>
        <v>0.5</v>
      </c>
      <c r="G116" s="277">
        <f t="shared" ref="G116:X116" si="314">F116</f>
        <v>0.5</v>
      </c>
      <c r="H116" s="277">
        <f t="shared" si="314"/>
        <v>0.5</v>
      </c>
      <c r="I116" s="277">
        <f t="shared" si="314"/>
        <v>0.5</v>
      </c>
      <c r="J116" s="277">
        <f t="shared" si="314"/>
        <v>0.5</v>
      </c>
      <c r="K116" s="277">
        <f t="shared" si="314"/>
        <v>0.5</v>
      </c>
      <c r="L116" s="277">
        <f t="shared" si="314"/>
        <v>0.5</v>
      </c>
      <c r="M116" s="277">
        <f t="shared" si="314"/>
        <v>0.5</v>
      </c>
      <c r="N116" s="277">
        <f t="shared" si="314"/>
        <v>0.5</v>
      </c>
      <c r="O116" s="277">
        <f t="shared" si="314"/>
        <v>0.5</v>
      </c>
      <c r="P116" s="277">
        <f t="shared" si="314"/>
        <v>0.5</v>
      </c>
      <c r="Q116" s="277">
        <f t="shared" si="314"/>
        <v>0.5</v>
      </c>
      <c r="R116" s="277">
        <f t="shared" si="314"/>
        <v>0.5</v>
      </c>
      <c r="S116" s="277">
        <f t="shared" si="314"/>
        <v>0.5</v>
      </c>
      <c r="T116" s="277">
        <f t="shared" si="314"/>
        <v>0.5</v>
      </c>
      <c r="U116" s="277">
        <f t="shared" si="314"/>
        <v>0.5</v>
      </c>
      <c r="V116" s="277">
        <f t="shared" si="314"/>
        <v>0.5</v>
      </c>
      <c r="W116" s="277">
        <f t="shared" si="314"/>
        <v>0.5</v>
      </c>
      <c r="X116" s="277">
        <f t="shared" si="314"/>
        <v>0.5</v>
      </c>
    </row>
    <row r="118" spans="1:24" s="215" customFormat="1" x14ac:dyDescent="0.2">
      <c r="A118" s="23" t="s">
        <v>320</v>
      </c>
      <c r="B118" s="212"/>
      <c r="C118" s="212"/>
      <c r="D118" s="212"/>
      <c r="E118" s="213"/>
      <c r="F118" s="213"/>
      <c r="G118" s="213"/>
      <c r="H118" s="213"/>
      <c r="I118" s="213"/>
      <c r="J118" s="213"/>
      <c r="K118" s="213"/>
      <c r="L118" s="213"/>
      <c r="M118" s="213"/>
      <c r="N118" s="213"/>
      <c r="O118" s="213"/>
      <c r="P118" s="213"/>
      <c r="Q118" s="213"/>
      <c r="R118" s="213"/>
      <c r="S118" s="213"/>
      <c r="T118" s="213"/>
      <c r="U118" s="213"/>
      <c r="V118" s="213"/>
      <c r="W118" s="213"/>
      <c r="X118" s="213"/>
    </row>
    <row r="119" spans="1:24" s="13" customFormat="1" x14ac:dyDescent="0.2">
      <c r="A119" s="12"/>
      <c r="E119" s="18"/>
      <c r="F119" s="18"/>
      <c r="G119" s="18"/>
      <c r="H119" s="18"/>
      <c r="I119" s="18"/>
      <c r="J119" s="18"/>
      <c r="K119" s="18"/>
      <c r="L119" s="18"/>
      <c r="M119" s="18"/>
      <c r="N119" s="18"/>
      <c r="O119" s="18"/>
      <c r="P119" s="18"/>
      <c r="Q119" s="18"/>
      <c r="R119" s="18"/>
      <c r="S119" s="18"/>
      <c r="T119" s="18"/>
      <c r="U119" s="18"/>
      <c r="V119" s="18"/>
      <c r="W119" s="18"/>
      <c r="X119" s="18"/>
    </row>
    <row r="120" spans="1:24" x14ac:dyDescent="0.2">
      <c r="A120" s="73" t="s">
        <v>21</v>
      </c>
      <c r="B120" s="74"/>
      <c r="C120" s="74"/>
      <c r="D120" s="74"/>
      <c r="E120" s="75">
        <f>E114</f>
        <v>2020</v>
      </c>
      <c r="F120" s="75">
        <f t="shared" ref="F120:X120" si="315">F114</f>
        <v>2021</v>
      </c>
      <c r="G120" s="75">
        <f t="shared" si="315"/>
        <v>2022</v>
      </c>
      <c r="H120" s="75">
        <f t="shared" si="315"/>
        <v>2023</v>
      </c>
      <c r="I120" s="75">
        <f t="shared" si="315"/>
        <v>2024</v>
      </c>
      <c r="J120" s="75">
        <f t="shared" si="315"/>
        <v>2025</v>
      </c>
      <c r="K120" s="75">
        <f t="shared" si="315"/>
        <v>2026</v>
      </c>
      <c r="L120" s="75">
        <f t="shared" si="315"/>
        <v>2027</v>
      </c>
      <c r="M120" s="75">
        <f t="shared" si="315"/>
        <v>2028</v>
      </c>
      <c r="N120" s="75">
        <f t="shared" si="315"/>
        <v>2029</v>
      </c>
      <c r="O120" s="75">
        <f t="shared" si="315"/>
        <v>2030</v>
      </c>
      <c r="P120" s="75">
        <f t="shared" si="315"/>
        <v>2031</v>
      </c>
      <c r="Q120" s="75">
        <f t="shared" si="315"/>
        <v>2032</v>
      </c>
      <c r="R120" s="75">
        <f t="shared" si="315"/>
        <v>2033</v>
      </c>
      <c r="S120" s="75">
        <f t="shared" si="315"/>
        <v>2034</v>
      </c>
      <c r="T120" s="75">
        <f t="shared" si="315"/>
        <v>2035</v>
      </c>
      <c r="U120" s="75">
        <f t="shared" si="315"/>
        <v>2036</v>
      </c>
      <c r="V120" s="75">
        <f t="shared" si="315"/>
        <v>2037</v>
      </c>
      <c r="W120" s="75">
        <f t="shared" si="315"/>
        <v>2038</v>
      </c>
      <c r="X120" s="75">
        <f t="shared" si="315"/>
        <v>2039</v>
      </c>
    </row>
    <row r="121" spans="1:24" x14ac:dyDescent="0.2">
      <c r="A121" s="17" t="s">
        <v>19</v>
      </c>
      <c r="B121" s="17"/>
      <c r="C121" s="17"/>
      <c r="D121" s="17"/>
      <c r="E121" s="81">
        <v>0.4</v>
      </c>
      <c r="F121" s="81">
        <v>0.4</v>
      </c>
      <c r="G121" s="81">
        <v>0.4</v>
      </c>
      <c r="H121" s="81">
        <f>G121</f>
        <v>0.4</v>
      </c>
      <c r="I121" s="81">
        <f t="shared" ref="I121:X121" si="316">H121</f>
        <v>0.4</v>
      </c>
      <c r="J121" s="81">
        <f t="shared" si="316"/>
        <v>0.4</v>
      </c>
      <c r="K121" s="81">
        <f t="shared" si="316"/>
        <v>0.4</v>
      </c>
      <c r="L121" s="81">
        <f t="shared" si="316"/>
        <v>0.4</v>
      </c>
      <c r="M121" s="81">
        <f t="shared" si="316"/>
        <v>0.4</v>
      </c>
      <c r="N121" s="81">
        <f t="shared" si="316"/>
        <v>0.4</v>
      </c>
      <c r="O121" s="81">
        <f t="shared" si="316"/>
        <v>0.4</v>
      </c>
      <c r="P121" s="81">
        <f t="shared" si="316"/>
        <v>0.4</v>
      </c>
      <c r="Q121" s="81">
        <f t="shared" si="316"/>
        <v>0.4</v>
      </c>
      <c r="R121" s="81">
        <f t="shared" si="316"/>
        <v>0.4</v>
      </c>
      <c r="S121" s="81">
        <f t="shared" si="316"/>
        <v>0.4</v>
      </c>
      <c r="T121" s="81">
        <f t="shared" si="316"/>
        <v>0.4</v>
      </c>
      <c r="U121" s="81">
        <f t="shared" si="316"/>
        <v>0.4</v>
      </c>
      <c r="V121" s="81">
        <f t="shared" si="316"/>
        <v>0.4</v>
      </c>
      <c r="W121" s="81">
        <f t="shared" si="316"/>
        <v>0.4</v>
      </c>
      <c r="X121" s="81">
        <f t="shared" si="316"/>
        <v>0.4</v>
      </c>
    </row>
    <row r="122" spans="1:24" x14ac:dyDescent="0.2">
      <c r="A122" s="5" t="s">
        <v>13</v>
      </c>
    </row>
    <row r="123" spans="1:24" x14ac:dyDescent="0.2">
      <c r="A123" s="78" t="s">
        <v>207</v>
      </c>
      <c r="B123" s="17"/>
      <c r="C123" s="17"/>
      <c r="D123" s="17"/>
      <c r="E123" s="209">
        <v>110</v>
      </c>
      <c r="F123" s="209">
        <f t="shared" ref="F123:H123" si="317">E123</f>
        <v>110</v>
      </c>
      <c r="G123" s="209">
        <f t="shared" si="317"/>
        <v>110</v>
      </c>
      <c r="H123" s="209">
        <f t="shared" si="317"/>
        <v>110</v>
      </c>
      <c r="I123" s="209">
        <f t="shared" ref="I123:I124" si="318">H123</f>
        <v>110</v>
      </c>
      <c r="J123" s="209">
        <f t="shared" ref="J123:J124" si="319">I123</f>
        <v>110</v>
      </c>
      <c r="K123" s="209">
        <f t="shared" ref="K123:K124" si="320">J123</f>
        <v>110</v>
      </c>
      <c r="L123" s="209">
        <f t="shared" ref="L123:L124" si="321">K123</f>
        <v>110</v>
      </c>
      <c r="M123" s="209">
        <f t="shared" ref="M123:M124" si="322">L123</f>
        <v>110</v>
      </c>
      <c r="N123" s="209">
        <f t="shared" ref="N123:N124" si="323">M123</f>
        <v>110</v>
      </c>
      <c r="O123" s="209">
        <f t="shared" ref="O123:O124" si="324">N123</f>
        <v>110</v>
      </c>
      <c r="P123" s="209">
        <f t="shared" ref="P123:P124" si="325">O123</f>
        <v>110</v>
      </c>
      <c r="Q123" s="209">
        <f t="shared" ref="Q123:Q124" si="326">P123</f>
        <v>110</v>
      </c>
      <c r="R123" s="209">
        <f t="shared" ref="R123:R124" si="327">Q123</f>
        <v>110</v>
      </c>
      <c r="S123" s="209">
        <f t="shared" ref="S123:S124" si="328">R123</f>
        <v>110</v>
      </c>
      <c r="T123" s="209">
        <f t="shared" ref="T123:T124" si="329">S123</f>
        <v>110</v>
      </c>
      <c r="U123" s="209">
        <f t="shared" ref="U123:U124" si="330">T123</f>
        <v>110</v>
      </c>
      <c r="V123" s="209">
        <f t="shared" ref="V123:V124" si="331">U123</f>
        <v>110</v>
      </c>
      <c r="W123" s="209">
        <f t="shared" ref="W123:W124" si="332">V123</f>
        <v>110</v>
      </c>
      <c r="X123" s="209">
        <f t="shared" ref="X123:X124" si="333">W123</f>
        <v>110</v>
      </c>
    </row>
    <row r="124" spans="1:24" x14ac:dyDescent="0.2">
      <c r="A124" s="78" t="s">
        <v>208</v>
      </c>
      <c r="B124" s="17"/>
      <c r="C124" s="17"/>
      <c r="D124" s="17"/>
      <c r="E124" s="210">
        <v>55</v>
      </c>
      <c r="F124" s="210">
        <f t="shared" ref="F124:H124" si="334">E124</f>
        <v>55</v>
      </c>
      <c r="G124" s="210">
        <f t="shared" si="334"/>
        <v>55</v>
      </c>
      <c r="H124" s="210">
        <f t="shared" si="334"/>
        <v>55</v>
      </c>
      <c r="I124" s="210">
        <f t="shared" si="318"/>
        <v>55</v>
      </c>
      <c r="J124" s="210">
        <f t="shared" si="319"/>
        <v>55</v>
      </c>
      <c r="K124" s="210">
        <f t="shared" si="320"/>
        <v>55</v>
      </c>
      <c r="L124" s="210">
        <f t="shared" si="321"/>
        <v>55</v>
      </c>
      <c r="M124" s="210">
        <f t="shared" si="322"/>
        <v>55</v>
      </c>
      <c r="N124" s="210">
        <f t="shared" si="323"/>
        <v>55</v>
      </c>
      <c r="O124" s="210">
        <f t="shared" si="324"/>
        <v>55</v>
      </c>
      <c r="P124" s="210">
        <f t="shared" si="325"/>
        <v>55</v>
      </c>
      <c r="Q124" s="210">
        <f t="shared" si="326"/>
        <v>55</v>
      </c>
      <c r="R124" s="210">
        <f t="shared" si="327"/>
        <v>55</v>
      </c>
      <c r="S124" s="210">
        <f t="shared" si="328"/>
        <v>55</v>
      </c>
      <c r="T124" s="210">
        <f t="shared" si="329"/>
        <v>55</v>
      </c>
      <c r="U124" s="210">
        <f t="shared" si="330"/>
        <v>55</v>
      </c>
      <c r="V124" s="210">
        <f t="shared" si="331"/>
        <v>55</v>
      </c>
      <c r="W124" s="210">
        <f t="shared" si="332"/>
        <v>55</v>
      </c>
      <c r="X124" s="210">
        <f t="shared" si="333"/>
        <v>55</v>
      </c>
    </row>
    <row r="125" spans="1:24" x14ac:dyDescent="0.2">
      <c r="A125" s="78" t="s">
        <v>34</v>
      </c>
      <c r="B125" s="17"/>
      <c r="C125" s="17"/>
      <c r="D125" s="17"/>
      <c r="E125" s="79">
        <f>-E121*(E123+E124)</f>
        <v>-66</v>
      </c>
      <c r="F125" s="79">
        <f>-F121*(F123+F124)</f>
        <v>-66</v>
      </c>
      <c r="G125" s="79">
        <f t="shared" ref="G125" si="335">-G121*(G123+G124)</f>
        <v>-66</v>
      </c>
      <c r="H125" s="79">
        <f>-H121*(H123+H124)</f>
        <v>-66</v>
      </c>
      <c r="I125" s="79">
        <f>-I121*(I123+I124)</f>
        <v>-66</v>
      </c>
      <c r="J125" s="79">
        <f t="shared" ref="J125:X125" si="336">-J121*(J123+J124)</f>
        <v>-66</v>
      </c>
      <c r="K125" s="79">
        <f t="shared" si="336"/>
        <v>-66</v>
      </c>
      <c r="L125" s="79">
        <f t="shared" si="336"/>
        <v>-66</v>
      </c>
      <c r="M125" s="79">
        <f t="shared" si="336"/>
        <v>-66</v>
      </c>
      <c r="N125" s="79">
        <f t="shared" si="336"/>
        <v>-66</v>
      </c>
      <c r="O125" s="79">
        <f t="shared" si="336"/>
        <v>-66</v>
      </c>
      <c r="P125" s="79">
        <f t="shared" si="336"/>
        <v>-66</v>
      </c>
      <c r="Q125" s="79">
        <f t="shared" si="336"/>
        <v>-66</v>
      </c>
      <c r="R125" s="79">
        <f t="shared" si="336"/>
        <v>-66</v>
      </c>
      <c r="S125" s="79">
        <f t="shared" si="336"/>
        <v>-66</v>
      </c>
      <c r="T125" s="79">
        <f t="shared" si="336"/>
        <v>-66</v>
      </c>
      <c r="U125" s="79">
        <f t="shared" si="336"/>
        <v>-66</v>
      </c>
      <c r="V125" s="79">
        <f t="shared" si="336"/>
        <v>-66</v>
      </c>
      <c r="W125" s="79">
        <f t="shared" si="336"/>
        <v>-66</v>
      </c>
      <c r="X125" s="79">
        <f t="shared" si="336"/>
        <v>-66</v>
      </c>
    </row>
    <row r="126" spans="1:24" x14ac:dyDescent="0.2">
      <c r="A126" s="78" t="s">
        <v>209</v>
      </c>
      <c r="B126" s="17"/>
      <c r="C126" s="17"/>
      <c r="D126" s="17"/>
      <c r="E126" s="79">
        <v>30</v>
      </c>
      <c r="F126" s="79">
        <f t="shared" ref="F126:H126" si="337">E126</f>
        <v>30</v>
      </c>
      <c r="G126" s="79">
        <f t="shared" si="337"/>
        <v>30</v>
      </c>
      <c r="H126" s="79">
        <f t="shared" si="337"/>
        <v>30</v>
      </c>
      <c r="I126" s="79">
        <f t="shared" ref="I126" si="338">H126</f>
        <v>30</v>
      </c>
      <c r="J126" s="79">
        <f t="shared" ref="J126" si="339">I126</f>
        <v>30</v>
      </c>
      <c r="K126" s="79">
        <f t="shared" ref="K126" si="340">J126</f>
        <v>30</v>
      </c>
      <c r="L126" s="79">
        <f t="shared" ref="L126" si="341">K126</f>
        <v>30</v>
      </c>
      <c r="M126" s="79">
        <f t="shared" ref="M126" si="342">L126</f>
        <v>30</v>
      </c>
      <c r="N126" s="79">
        <f t="shared" ref="N126" si="343">M126</f>
        <v>30</v>
      </c>
      <c r="O126" s="79">
        <f t="shared" ref="O126" si="344">N126</f>
        <v>30</v>
      </c>
      <c r="P126" s="79">
        <f t="shared" ref="P126" si="345">O126</f>
        <v>30</v>
      </c>
      <c r="Q126" s="79">
        <f t="shared" ref="Q126" si="346">P126</f>
        <v>30</v>
      </c>
      <c r="R126" s="79">
        <f t="shared" ref="R126" si="347">Q126</f>
        <v>30</v>
      </c>
      <c r="S126" s="79">
        <f t="shared" ref="S126" si="348">R126</f>
        <v>30</v>
      </c>
      <c r="T126" s="79">
        <f t="shared" ref="T126" si="349">S126</f>
        <v>30</v>
      </c>
      <c r="U126" s="79">
        <f t="shared" ref="U126" si="350">T126</f>
        <v>30</v>
      </c>
      <c r="V126" s="79">
        <f t="shared" ref="V126" si="351">U126</f>
        <v>30</v>
      </c>
      <c r="W126" s="79">
        <f t="shared" ref="W126" si="352">V126</f>
        <v>30</v>
      </c>
      <c r="X126" s="79">
        <f t="shared" ref="X126" si="353">W126</f>
        <v>30</v>
      </c>
    </row>
    <row r="127" spans="1:24" x14ac:dyDescent="0.2">
      <c r="A127" s="78" t="s">
        <v>35</v>
      </c>
      <c r="B127" s="17"/>
      <c r="C127" s="17"/>
      <c r="D127" s="17"/>
      <c r="E127" s="79">
        <v>-30</v>
      </c>
      <c r="F127" s="79">
        <f t="shared" ref="F127:H127" si="354">-100%*F126</f>
        <v>-30</v>
      </c>
      <c r="G127" s="79">
        <f t="shared" si="354"/>
        <v>-30</v>
      </c>
      <c r="H127" s="79">
        <f t="shared" si="354"/>
        <v>-30</v>
      </c>
      <c r="I127" s="79">
        <f t="shared" ref="I127:X127" si="355">-100%*I126</f>
        <v>-30</v>
      </c>
      <c r="J127" s="79">
        <f t="shared" si="355"/>
        <v>-30</v>
      </c>
      <c r="K127" s="79">
        <f t="shared" si="355"/>
        <v>-30</v>
      </c>
      <c r="L127" s="79">
        <f t="shared" si="355"/>
        <v>-30</v>
      </c>
      <c r="M127" s="79">
        <f t="shared" si="355"/>
        <v>-30</v>
      </c>
      <c r="N127" s="79">
        <f t="shared" si="355"/>
        <v>-30</v>
      </c>
      <c r="O127" s="79">
        <f t="shared" si="355"/>
        <v>-30</v>
      </c>
      <c r="P127" s="79">
        <f t="shared" si="355"/>
        <v>-30</v>
      </c>
      <c r="Q127" s="79">
        <f t="shared" si="355"/>
        <v>-30</v>
      </c>
      <c r="R127" s="79">
        <f t="shared" si="355"/>
        <v>-30</v>
      </c>
      <c r="S127" s="79">
        <f t="shared" si="355"/>
        <v>-30</v>
      </c>
      <c r="T127" s="79">
        <f t="shared" si="355"/>
        <v>-30</v>
      </c>
      <c r="U127" s="79">
        <f t="shared" si="355"/>
        <v>-30</v>
      </c>
      <c r="V127" s="79">
        <f t="shared" si="355"/>
        <v>-30</v>
      </c>
      <c r="W127" s="79">
        <f t="shared" si="355"/>
        <v>-30</v>
      </c>
      <c r="X127" s="79">
        <f t="shared" si="355"/>
        <v>-30</v>
      </c>
    </row>
    <row r="128" spans="1:24" x14ac:dyDescent="0.2">
      <c r="A128" s="76" t="s">
        <v>12</v>
      </c>
      <c r="B128" s="76"/>
      <c r="C128" s="76"/>
      <c r="D128" s="76"/>
      <c r="E128" s="80">
        <v>99</v>
      </c>
      <c r="F128" s="80">
        <f t="shared" ref="F128:H128" si="356">SUM(F123,F124,F125,F126,F127)</f>
        <v>99</v>
      </c>
      <c r="G128" s="80">
        <f t="shared" si="356"/>
        <v>99</v>
      </c>
      <c r="H128" s="80">
        <f t="shared" si="356"/>
        <v>99</v>
      </c>
      <c r="I128" s="80">
        <f t="shared" ref="I128:X128" si="357">SUM(I123,I124,I125,I126,I127)</f>
        <v>99</v>
      </c>
      <c r="J128" s="80">
        <f t="shared" si="357"/>
        <v>99</v>
      </c>
      <c r="K128" s="80">
        <f t="shared" si="357"/>
        <v>99</v>
      </c>
      <c r="L128" s="80">
        <f t="shared" si="357"/>
        <v>99</v>
      </c>
      <c r="M128" s="80">
        <f t="shared" si="357"/>
        <v>99</v>
      </c>
      <c r="N128" s="80">
        <f t="shared" si="357"/>
        <v>99</v>
      </c>
      <c r="O128" s="80">
        <f t="shared" si="357"/>
        <v>99</v>
      </c>
      <c r="P128" s="80">
        <f t="shared" si="357"/>
        <v>99</v>
      </c>
      <c r="Q128" s="80">
        <f t="shared" si="357"/>
        <v>99</v>
      </c>
      <c r="R128" s="80">
        <f t="shared" si="357"/>
        <v>99</v>
      </c>
      <c r="S128" s="80">
        <f t="shared" si="357"/>
        <v>99</v>
      </c>
      <c r="T128" s="80">
        <f t="shared" si="357"/>
        <v>99</v>
      </c>
      <c r="U128" s="80">
        <f t="shared" si="357"/>
        <v>99</v>
      </c>
      <c r="V128" s="80">
        <f t="shared" si="357"/>
        <v>99</v>
      </c>
      <c r="W128" s="80">
        <f t="shared" si="357"/>
        <v>99</v>
      </c>
      <c r="X128" s="80">
        <f t="shared" si="357"/>
        <v>99</v>
      </c>
    </row>
    <row r="130" spans="1:25" s="215" customFormat="1" x14ac:dyDescent="0.2">
      <c r="A130" s="23" t="s">
        <v>321</v>
      </c>
      <c r="B130" s="212"/>
      <c r="C130" s="212"/>
      <c r="D130" s="212"/>
      <c r="E130" s="213"/>
      <c r="F130" s="213"/>
      <c r="G130" s="213"/>
      <c r="H130" s="213"/>
      <c r="I130" s="213"/>
      <c r="J130" s="213"/>
      <c r="K130" s="213"/>
      <c r="L130" s="213"/>
      <c r="M130" s="213"/>
      <c r="N130" s="213"/>
      <c r="O130" s="213"/>
      <c r="P130" s="213"/>
      <c r="Q130" s="213"/>
      <c r="R130" s="213"/>
      <c r="S130" s="213"/>
      <c r="T130" s="213"/>
      <c r="U130" s="213"/>
      <c r="V130" s="213"/>
      <c r="W130" s="213"/>
      <c r="X130" s="213"/>
    </row>
    <row r="132" spans="1:25" x14ac:dyDescent="0.2">
      <c r="A132" s="73" t="s">
        <v>21</v>
      </c>
      <c r="B132" s="74"/>
      <c r="C132" s="74"/>
      <c r="D132" s="74"/>
      <c r="E132" s="75">
        <f>E120</f>
        <v>2020</v>
      </c>
      <c r="F132" s="75">
        <f t="shared" ref="F132" si="358">E132+1</f>
        <v>2021</v>
      </c>
      <c r="G132" s="75">
        <f t="shared" ref="G132" si="359">F132+1</f>
        <v>2022</v>
      </c>
      <c r="H132" s="75">
        <f t="shared" ref="H132" si="360">G132+1</f>
        <v>2023</v>
      </c>
      <c r="I132" s="75">
        <f t="shared" ref="I132" si="361">H132+1</f>
        <v>2024</v>
      </c>
      <c r="J132" s="75">
        <f t="shared" ref="J132" si="362">I132+1</f>
        <v>2025</v>
      </c>
      <c r="K132" s="75">
        <f t="shared" ref="K132" si="363">J132+1</f>
        <v>2026</v>
      </c>
      <c r="L132" s="75">
        <f t="shared" ref="L132" si="364">K132+1</f>
        <v>2027</v>
      </c>
      <c r="M132" s="75">
        <f t="shared" ref="M132" si="365">L132+1</f>
        <v>2028</v>
      </c>
      <c r="N132" s="75">
        <f t="shared" ref="N132" si="366">M132+1</f>
        <v>2029</v>
      </c>
      <c r="O132" s="75">
        <f t="shared" ref="O132" si="367">N132+1</f>
        <v>2030</v>
      </c>
      <c r="P132" s="75">
        <f t="shared" ref="P132" si="368">O132+1</f>
        <v>2031</v>
      </c>
      <c r="Q132" s="75">
        <f t="shared" ref="Q132" si="369">P132+1</f>
        <v>2032</v>
      </c>
      <c r="R132" s="75">
        <f t="shared" ref="R132" si="370">Q132+1</f>
        <v>2033</v>
      </c>
      <c r="S132" s="75">
        <f t="shared" ref="S132" si="371">R132+1</f>
        <v>2034</v>
      </c>
      <c r="T132" s="75">
        <f t="shared" ref="T132" si="372">S132+1</f>
        <v>2035</v>
      </c>
      <c r="U132" s="75">
        <f t="shared" ref="U132" si="373">T132+1</f>
        <v>2036</v>
      </c>
      <c r="V132" s="75">
        <f t="shared" ref="V132" si="374">U132+1</f>
        <v>2037</v>
      </c>
      <c r="W132" s="75">
        <f t="shared" ref="W132" si="375">V132+1</f>
        <v>2038</v>
      </c>
      <c r="X132" s="75">
        <f t="shared" ref="X132" si="376">W132+1</f>
        <v>2039</v>
      </c>
    </row>
    <row r="133" spans="1:25" x14ac:dyDescent="0.2">
      <c r="A133" s="169" t="s">
        <v>202</v>
      </c>
      <c r="B133" s="169"/>
      <c r="C133" s="169"/>
      <c r="D133" s="169"/>
      <c r="E133" s="252">
        <f>[1]Sheet1!$T$34</f>
        <v>399.15645496413356</v>
      </c>
      <c r="F133" s="252">
        <f t="shared" ref="F133:H133" si="377">E133</f>
        <v>399.15645496413356</v>
      </c>
      <c r="G133" s="252">
        <f t="shared" si="377"/>
        <v>399.15645496413356</v>
      </c>
      <c r="H133" s="252">
        <f t="shared" si="377"/>
        <v>399.15645496413356</v>
      </c>
      <c r="I133" s="252">
        <f t="shared" ref="I133" si="378">H133</f>
        <v>399.15645496413356</v>
      </c>
      <c r="J133" s="252">
        <f t="shared" ref="J133" si="379">I133</f>
        <v>399.15645496413356</v>
      </c>
      <c r="K133" s="252">
        <f t="shared" ref="K133" si="380">J133</f>
        <v>399.15645496413356</v>
      </c>
      <c r="L133" s="252">
        <f t="shared" ref="L133" si="381">K133</f>
        <v>399.15645496413356</v>
      </c>
      <c r="M133" s="252">
        <f t="shared" ref="M133" si="382">L133</f>
        <v>399.15645496413356</v>
      </c>
      <c r="N133" s="252">
        <f t="shared" ref="N133" si="383">M133</f>
        <v>399.15645496413356</v>
      </c>
      <c r="O133" s="252">
        <f t="shared" ref="O133" si="384">N133</f>
        <v>399.15645496413356</v>
      </c>
      <c r="P133" s="252">
        <f t="shared" ref="P133" si="385">O133</f>
        <v>399.15645496413356</v>
      </c>
      <c r="Q133" s="252">
        <f t="shared" ref="Q133" si="386">P133</f>
        <v>399.15645496413356</v>
      </c>
      <c r="R133" s="252">
        <f t="shared" ref="R133" si="387">Q133</f>
        <v>399.15645496413356</v>
      </c>
      <c r="S133" s="252">
        <f t="shared" ref="S133" si="388">R133</f>
        <v>399.15645496413356</v>
      </c>
      <c r="T133" s="252">
        <f t="shared" ref="T133" si="389">S133</f>
        <v>399.15645496413356</v>
      </c>
      <c r="U133" s="252">
        <f t="shared" ref="U133" si="390">T133</f>
        <v>399.15645496413356</v>
      </c>
      <c r="V133" s="252">
        <f t="shared" ref="V133" si="391">U133</f>
        <v>399.15645496413356</v>
      </c>
      <c r="W133" s="252">
        <f t="shared" ref="W133" si="392">V133</f>
        <v>399.15645496413356</v>
      </c>
      <c r="X133" s="252">
        <f t="shared" ref="X133" si="393">W133</f>
        <v>399.15645496413356</v>
      </c>
    </row>
    <row r="135" spans="1:25" s="215" customFormat="1" x14ac:dyDescent="0.2">
      <c r="A135" s="23" t="s">
        <v>138</v>
      </c>
      <c r="B135" s="212"/>
      <c r="C135" s="212"/>
      <c r="D135" s="212"/>
      <c r="E135" s="212"/>
      <c r="F135" s="212"/>
      <c r="G135" s="213"/>
      <c r="H135" s="213"/>
      <c r="I135" s="213"/>
      <c r="J135" s="213"/>
      <c r="K135" s="213"/>
      <c r="L135" s="213"/>
      <c r="M135" s="213"/>
      <c r="N135" s="213"/>
      <c r="O135" s="213"/>
      <c r="P135" s="213"/>
      <c r="Q135" s="213"/>
      <c r="R135" s="213"/>
      <c r="S135" s="213"/>
      <c r="T135" s="213"/>
      <c r="U135" s="213"/>
      <c r="V135" s="213"/>
      <c r="W135" s="213"/>
      <c r="X135" s="213"/>
    </row>
    <row r="137" spans="1:25" x14ac:dyDescent="0.2">
      <c r="A137" s="73" t="s">
        <v>67</v>
      </c>
      <c r="B137" s="73"/>
      <c r="C137" s="73"/>
      <c r="E137" s="75">
        <v>2010</v>
      </c>
      <c r="F137" s="75">
        <v>2011</v>
      </c>
      <c r="G137" s="75">
        <v>2012</v>
      </c>
      <c r="H137" s="73">
        <v>2013</v>
      </c>
      <c r="I137" s="73">
        <v>2014</v>
      </c>
      <c r="J137" s="168">
        <v>2015</v>
      </c>
      <c r="K137" s="168">
        <v>2016</v>
      </c>
      <c r="L137" s="4">
        <v>2017</v>
      </c>
      <c r="M137" s="4">
        <v>2018</v>
      </c>
    </row>
    <row r="138" spans="1:25" x14ac:dyDescent="0.2">
      <c r="A138" s="103" t="s">
        <v>68</v>
      </c>
      <c r="B138" s="104" t="s">
        <v>64</v>
      </c>
      <c r="C138" s="104" t="s">
        <v>65</v>
      </c>
      <c r="E138" s="259">
        <v>50.88</v>
      </c>
      <c r="F138" s="259">
        <v>76.22</v>
      </c>
      <c r="G138" s="259">
        <v>64.318377732240563</v>
      </c>
      <c r="H138" s="260">
        <v>80.19</v>
      </c>
      <c r="I138" s="260">
        <v>49.42</v>
      </c>
      <c r="J138" s="260">
        <v>33.337907534246732</v>
      </c>
      <c r="K138" s="261">
        <v>18.278590619307987</v>
      </c>
      <c r="L138" s="270">
        <v>22.185801369863281</v>
      </c>
      <c r="M138" s="340">
        <v>50.347933789954332</v>
      </c>
      <c r="N138" s="5" t="s">
        <v>217</v>
      </c>
    </row>
    <row r="139" spans="1:25" x14ac:dyDescent="0.2">
      <c r="A139" s="103" t="s">
        <v>66</v>
      </c>
      <c r="B139" s="105">
        <f t="array" ref="B139:C139">LINEST(E141:M141,E138:M138)</f>
        <v>8.7303420163791098E-2</v>
      </c>
      <c r="C139" s="102">
        <v>-0.74009509743426438</v>
      </c>
      <c r="E139" s="262">
        <v>135.80876989000001</v>
      </c>
      <c r="F139" s="262">
        <v>324.95895716000001</v>
      </c>
      <c r="G139" s="262">
        <v>320.58642245999999</v>
      </c>
      <c r="H139" s="263">
        <v>361.4</v>
      </c>
      <c r="I139" s="263">
        <v>180.90890969</v>
      </c>
      <c r="J139" s="264">
        <v>130.465352</v>
      </c>
      <c r="K139" s="265">
        <v>66.502761140000004</v>
      </c>
      <c r="L139" s="272">
        <v>80.750703580000007</v>
      </c>
      <c r="M139" s="339">
        <v>240</v>
      </c>
      <c r="N139" s="5" t="s">
        <v>216</v>
      </c>
    </row>
    <row r="140" spans="1:25" x14ac:dyDescent="0.2">
      <c r="A140" s="164"/>
      <c r="B140" s="165"/>
      <c r="C140" s="166"/>
      <c r="E140" s="266">
        <v>53744</v>
      </c>
      <c r="F140" s="266">
        <v>55196</v>
      </c>
      <c r="G140" s="266">
        <v>55736</v>
      </c>
      <c r="H140" s="267">
        <v>56959</v>
      </c>
      <c r="I140" s="267">
        <v>59041.851999999999</v>
      </c>
      <c r="J140" s="267">
        <v>58942.204058824391</v>
      </c>
      <c r="K140" s="268">
        <v>58537</v>
      </c>
      <c r="L140" s="271">
        <v>60010.450750000004</v>
      </c>
      <c r="M140" s="273">
        <v>60999.88</v>
      </c>
      <c r="N140" s="5" t="s">
        <v>218</v>
      </c>
    </row>
    <row r="141" spans="1:25" x14ac:dyDescent="0.2">
      <c r="A141" s="164"/>
      <c r="B141" s="165"/>
      <c r="C141" s="166"/>
      <c r="E141" s="260">
        <f t="shared" ref="E141:I141" si="394">E139*1000/E140</f>
        <v>2.5269568675573089</v>
      </c>
      <c r="F141" s="260">
        <f t="shared" si="394"/>
        <v>5.8873642503079928</v>
      </c>
      <c r="G141" s="260">
        <f t="shared" si="394"/>
        <v>5.7518735190899948</v>
      </c>
      <c r="H141" s="260">
        <f t="shared" si="394"/>
        <v>6.3449147632507596</v>
      </c>
      <c r="I141" s="260">
        <f t="shared" si="394"/>
        <v>3.0640791838643544</v>
      </c>
      <c r="J141" s="260">
        <f>J139*1000/J140</f>
        <v>2.213445426468875</v>
      </c>
      <c r="K141" s="260">
        <f>K139*1000/K140</f>
        <v>1.1360807889027453</v>
      </c>
      <c r="L141" s="260">
        <f>L139*1000/L140</f>
        <v>1.3456106823193625</v>
      </c>
      <c r="M141" s="260">
        <f>M139*1000/M140</f>
        <v>3.9344339693783006</v>
      </c>
      <c r="N141" s="5" t="s">
        <v>219</v>
      </c>
    </row>
    <row r="144" spans="1:25" x14ac:dyDescent="0.2">
      <c r="E144" s="186"/>
      <c r="L144" s="186"/>
      <c r="R144" s="186"/>
      <c r="Y144" s="2"/>
    </row>
    <row r="145" spans="6:26" x14ac:dyDescent="0.2">
      <c r="Z145" s="2"/>
    </row>
    <row r="146" spans="6:26" x14ac:dyDescent="0.2">
      <c r="Z146" s="2"/>
    </row>
    <row r="147" spans="6:26" x14ac:dyDescent="0.2">
      <c r="R147" s="186"/>
      <c r="Z147" s="2"/>
    </row>
    <row r="148" spans="6:26" x14ac:dyDescent="0.2">
      <c r="R148" s="186"/>
      <c r="Z148" s="2"/>
    </row>
    <row r="149" spans="6:26" x14ac:dyDescent="0.2">
      <c r="R149" s="186"/>
      <c r="Z149" s="2"/>
    </row>
    <row r="150" spans="6:26" x14ac:dyDescent="0.2">
      <c r="R150" s="186"/>
      <c r="Z150" s="2"/>
    </row>
    <row r="151" spans="6:26" x14ac:dyDescent="0.2">
      <c r="Z151" s="2"/>
    </row>
    <row r="152" spans="6:26" x14ac:dyDescent="0.2">
      <c r="Z152" s="2"/>
    </row>
    <row r="153" spans="6:26" x14ac:dyDescent="0.2">
      <c r="F153" s="186"/>
      <c r="L153" s="186"/>
      <c r="R153" s="186"/>
      <c r="Z153" s="2"/>
    </row>
    <row r="154" spans="6:26" x14ac:dyDescent="0.2">
      <c r="F154" s="186"/>
      <c r="R154" s="186"/>
      <c r="Z154" s="2"/>
    </row>
    <row r="155" spans="6:26" x14ac:dyDescent="0.2">
      <c r="F155" s="186"/>
      <c r="H155" s="194"/>
      <c r="I155" s="194"/>
      <c r="J155" s="194"/>
      <c r="K155" s="194"/>
      <c r="L155" s="194"/>
      <c r="M155" s="194"/>
      <c r="R155" s="186"/>
      <c r="Z155" s="2"/>
    </row>
    <row r="156" spans="6:26" x14ac:dyDescent="0.2">
      <c r="F156" s="186"/>
      <c r="H156" s="186"/>
      <c r="I156" s="186"/>
      <c r="J156" s="186"/>
      <c r="K156" s="186"/>
      <c r="L156" s="186"/>
      <c r="M156" s="186"/>
      <c r="R156" s="186"/>
      <c r="Z156" s="2"/>
    </row>
    <row r="157" spans="6:26" x14ac:dyDescent="0.2">
      <c r="F157" s="186"/>
      <c r="H157" s="186"/>
      <c r="I157" s="186"/>
      <c r="J157" s="186"/>
      <c r="K157" s="186"/>
      <c r="L157" s="186"/>
      <c r="M157" s="186"/>
      <c r="R157" s="186"/>
      <c r="Z157" s="2"/>
    </row>
    <row r="158" spans="6:26" x14ac:dyDescent="0.2">
      <c r="F158" s="186"/>
      <c r="L158" s="186"/>
      <c r="R158" s="186"/>
      <c r="Z158" s="2"/>
    </row>
    <row r="159" spans="6:26" x14ac:dyDescent="0.2">
      <c r="H159" s="194"/>
      <c r="I159" s="194"/>
      <c r="J159" s="194"/>
      <c r="K159" s="194"/>
      <c r="L159" s="194"/>
      <c r="M159" s="194"/>
    </row>
    <row r="160" spans="6:26" x14ac:dyDescent="0.2">
      <c r="H160" s="186"/>
      <c r="I160" s="186"/>
      <c r="J160" s="186"/>
      <c r="K160" s="186"/>
      <c r="L160" s="186"/>
      <c r="M160" s="186"/>
    </row>
  </sheetData>
  <mergeCells count="1">
    <mergeCell ref="R38:X38"/>
  </mergeCells>
  <phoneticPr fontId="6" type="noConversion"/>
  <conditionalFormatting sqref="A123:X124 A126:X126">
    <cfRule type="expression" dxfId="6" priority="8">
      <formula>#REF!="LowGrowth"</formula>
    </cfRule>
  </conditionalFormatting>
  <conditionalFormatting sqref="A133:X133">
    <cfRule type="expression" dxfId="5" priority="5">
      <formula>#REF!="LowGrowth"</formula>
    </cfRule>
  </conditionalFormatting>
  <conditionalFormatting sqref="A32:V32">
    <cfRule type="expression" dxfId="4" priority="3">
      <formula>#REF!="LowGrowth"</formula>
    </cfRule>
  </conditionalFormatting>
  <conditionalFormatting sqref="A33:X33">
    <cfRule type="expression" dxfId="3" priority="1">
      <formula>#REF!="LowGrowth"</formula>
    </cfRule>
  </conditionalFormatting>
  <dataValidations count="2">
    <dataValidation allowBlank="1" showInputMessage="1" showErrorMessage="1" prompt="Expected range of +30% to -30%" sqref="E26"/>
    <dataValidation allowBlank="1" showInputMessage="1" showErrorMessage="1" prompt="Expected range of +100% to -50%" sqref="F26"/>
  </dataValidations>
  <pageMargins left="0.5" right="0.5" top="0.75" bottom="0.75" header="0.5" footer="0.25"/>
  <pageSetup paperSize="17"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62"/>
  <sheetViews>
    <sheetView showGridLines="0" zoomScaleNormal="100" zoomScaleSheetLayoutView="70" workbookViewId="0">
      <selection activeCell="D24" sqref="D24"/>
    </sheetView>
  </sheetViews>
  <sheetFormatPr defaultColWidth="10.7109375" defaultRowHeight="12.75" x14ac:dyDescent="0.2"/>
  <cols>
    <col min="1" max="16384" width="10.7109375" style="2"/>
  </cols>
  <sheetData>
    <row r="1" spans="1:24" x14ac:dyDescent="0.2">
      <c r="A1" s="24" t="str">
        <f>Assumptions!A1</f>
        <v>Alberta Electric System Operator</v>
      </c>
    </row>
    <row r="2" spans="1:24" x14ac:dyDescent="0.2">
      <c r="A2" s="3" t="str">
        <f>Assumptions!A2</f>
        <v>Preliminary rates and bill projections</v>
      </c>
    </row>
    <row r="3" spans="1:24" x14ac:dyDescent="0.2">
      <c r="A3" s="3" t="str">
        <f>Assumptions!A3</f>
        <v>For discussion purposes</v>
      </c>
      <c r="E3" s="4"/>
    </row>
    <row r="4" spans="1:24" x14ac:dyDescent="0.2">
      <c r="A4" s="3" t="str">
        <f>Assumptions!A4</f>
        <v>Version 1.0-Conceptual dated March 12, 2020</v>
      </c>
    </row>
    <row r="5" spans="1:24" x14ac:dyDescent="0.2">
      <c r="A5" s="82" t="s">
        <v>210</v>
      </c>
      <c r="B5" s="82"/>
      <c r="C5" s="82"/>
      <c r="D5" s="82"/>
      <c r="E5" s="82"/>
      <c r="F5" s="82"/>
      <c r="G5" s="82"/>
      <c r="H5" s="82"/>
    </row>
    <row r="6" spans="1:24" s="25" customFormat="1" x14ac:dyDescent="0.2">
      <c r="A6" s="24"/>
      <c r="B6" s="24"/>
    </row>
    <row r="7" spans="1:24" s="163" customFormat="1" x14ac:dyDescent="0.2">
      <c r="A7" s="6" t="s">
        <v>16</v>
      </c>
      <c r="B7" s="160"/>
      <c r="C7" s="160"/>
      <c r="D7" s="160"/>
      <c r="E7" s="161"/>
      <c r="F7" s="161"/>
      <c r="G7" s="161"/>
      <c r="H7" s="161"/>
      <c r="I7" s="162"/>
      <c r="J7" s="162"/>
      <c r="K7" s="162"/>
      <c r="L7" s="162"/>
      <c r="M7" s="162"/>
      <c r="N7" s="162"/>
      <c r="O7" s="162"/>
      <c r="P7" s="162"/>
      <c r="Q7" s="162"/>
      <c r="R7" s="162"/>
      <c r="S7" s="162"/>
      <c r="T7" s="162"/>
      <c r="U7" s="162"/>
      <c r="V7" s="162"/>
      <c r="W7" s="162"/>
      <c r="X7" s="162"/>
    </row>
    <row r="8" spans="1:24" s="25" customFormat="1" x14ac:dyDescent="0.2">
      <c r="A8" s="24"/>
      <c r="B8" s="24"/>
    </row>
    <row r="9" spans="1:24" s="25" customFormat="1" x14ac:dyDescent="0.2">
      <c r="A9" s="83" t="s">
        <v>16</v>
      </c>
      <c r="B9" s="83"/>
      <c r="C9" s="83"/>
      <c r="D9" s="83"/>
      <c r="E9" s="83">
        <v>2020</v>
      </c>
      <c r="F9" s="83">
        <f t="shared" ref="F9" si="0">E9+1</f>
        <v>2021</v>
      </c>
      <c r="G9" s="83">
        <f t="shared" ref="G9" si="1">F9+1</f>
        <v>2022</v>
      </c>
      <c r="H9" s="83">
        <f t="shared" ref="H9" si="2">G9+1</f>
        <v>2023</v>
      </c>
      <c r="I9" s="83">
        <f t="shared" ref="I9" si="3">H9+1</f>
        <v>2024</v>
      </c>
      <c r="J9" s="83">
        <f t="shared" ref="J9" si="4">I9+1</f>
        <v>2025</v>
      </c>
      <c r="K9" s="83">
        <f t="shared" ref="K9" si="5">J9+1</f>
        <v>2026</v>
      </c>
      <c r="L9" s="83">
        <f t="shared" ref="L9" si="6">K9+1</f>
        <v>2027</v>
      </c>
      <c r="M9" s="83">
        <f t="shared" ref="M9" si="7">L9+1</f>
        <v>2028</v>
      </c>
      <c r="N9" s="83">
        <f t="shared" ref="N9" si="8">M9+1</f>
        <v>2029</v>
      </c>
      <c r="O9" s="83">
        <f t="shared" ref="O9" si="9">N9+1</f>
        <v>2030</v>
      </c>
      <c r="P9" s="83">
        <f t="shared" ref="P9" si="10">O9+1</f>
        <v>2031</v>
      </c>
      <c r="Q9" s="83">
        <f t="shared" ref="Q9" si="11">P9+1</f>
        <v>2032</v>
      </c>
      <c r="R9" s="83">
        <f t="shared" ref="R9" si="12">Q9+1</f>
        <v>2033</v>
      </c>
      <c r="S9" s="83">
        <f t="shared" ref="S9" si="13">R9+1</f>
        <v>2034</v>
      </c>
      <c r="T9" s="83">
        <f t="shared" ref="T9" si="14">S9+1</f>
        <v>2035</v>
      </c>
      <c r="U9" s="83">
        <f t="shared" ref="U9" si="15">T9+1</f>
        <v>2036</v>
      </c>
      <c r="V9" s="83">
        <f t="shared" ref="V9" si="16">U9+1</f>
        <v>2037</v>
      </c>
      <c r="W9" s="83">
        <f t="shared" ref="W9" si="17">V9+1</f>
        <v>2038</v>
      </c>
      <c r="X9" s="83">
        <f t="shared" ref="X9" si="18">W9+1</f>
        <v>2039</v>
      </c>
    </row>
    <row r="10" spans="1:24" s="25" customFormat="1" x14ac:dyDescent="0.2">
      <c r="A10" s="33" t="str">
        <f>Assumptions!A20</f>
        <v>Operating Expense Factor (%)</v>
      </c>
      <c r="B10" s="33"/>
      <c r="C10" s="33"/>
      <c r="D10" s="33"/>
      <c r="E10" s="34">
        <f>Assumptions!E20</f>
        <v>1.04E-2</v>
      </c>
      <c r="F10" s="34">
        <f>Assumptions!F20</f>
        <v>1.04E-2</v>
      </c>
      <c r="G10" s="34">
        <f>Assumptions!G20</f>
        <v>1.04E-2</v>
      </c>
      <c r="H10" s="34">
        <f>Assumptions!H20</f>
        <v>1.04E-2</v>
      </c>
      <c r="I10" s="34">
        <f>Assumptions!I20</f>
        <v>1.04E-2</v>
      </c>
      <c r="J10" s="34">
        <f>Assumptions!J20</f>
        <v>1.04E-2</v>
      </c>
      <c r="K10" s="34">
        <f>Assumptions!K20</f>
        <v>1.04E-2</v>
      </c>
      <c r="L10" s="34">
        <f>Assumptions!L20</f>
        <v>1.04E-2</v>
      </c>
      <c r="M10" s="34">
        <f>Assumptions!M20</f>
        <v>1.04E-2</v>
      </c>
      <c r="N10" s="34">
        <f>Assumptions!N20</f>
        <v>1.04E-2</v>
      </c>
      <c r="O10" s="34">
        <f>Assumptions!O20</f>
        <v>1.04E-2</v>
      </c>
      <c r="P10" s="34">
        <f>Assumptions!P20</f>
        <v>1.04E-2</v>
      </c>
      <c r="Q10" s="34">
        <f>Assumptions!Q20</f>
        <v>1.04E-2</v>
      </c>
      <c r="R10" s="34">
        <f>Assumptions!R20</f>
        <v>1.04E-2</v>
      </c>
      <c r="S10" s="34">
        <f>Assumptions!S20</f>
        <v>1.04E-2</v>
      </c>
      <c r="T10" s="34">
        <f>Assumptions!T20</f>
        <v>1.04E-2</v>
      </c>
      <c r="U10" s="34">
        <f>Assumptions!U20</f>
        <v>1.04E-2</v>
      </c>
      <c r="V10" s="34">
        <f>Assumptions!V20</f>
        <v>1.04E-2</v>
      </c>
      <c r="W10" s="34">
        <f>Assumptions!W20</f>
        <v>1.04E-2</v>
      </c>
      <c r="X10" s="34">
        <f>Assumptions!X20</f>
        <v>1.04E-2</v>
      </c>
    </row>
    <row r="11" spans="1:24" s="25" customFormat="1" x14ac:dyDescent="0.2">
      <c r="A11" s="33" t="str">
        <f>Assumptions!A19</f>
        <v>Depreciation Rate - All Property (%)</v>
      </c>
      <c r="B11" s="33"/>
      <c r="C11" s="33"/>
      <c r="D11" s="33"/>
      <c r="E11" s="36">
        <f>Assumptions!E19</f>
        <v>3.229790855184362E-2</v>
      </c>
      <c r="F11" s="36">
        <f>Assumptions!F19</f>
        <v>3.229790855184362E-2</v>
      </c>
      <c r="G11" s="36">
        <f>Assumptions!G19</f>
        <v>3.229790855184362E-2</v>
      </c>
      <c r="H11" s="36">
        <f>Assumptions!H19</f>
        <v>3.229790855184362E-2</v>
      </c>
      <c r="I11" s="36">
        <f>Assumptions!I19</f>
        <v>3.229790855184362E-2</v>
      </c>
      <c r="J11" s="36">
        <f>Assumptions!J19</f>
        <v>3.229790855184362E-2</v>
      </c>
      <c r="K11" s="36">
        <f>Assumptions!K19</f>
        <v>3.229790855184362E-2</v>
      </c>
      <c r="L11" s="36">
        <f>Assumptions!L19</f>
        <v>3.229790855184362E-2</v>
      </c>
      <c r="M11" s="36">
        <f>Assumptions!M19</f>
        <v>3.229790855184362E-2</v>
      </c>
      <c r="N11" s="36">
        <f>Assumptions!N19</f>
        <v>3.229790855184362E-2</v>
      </c>
      <c r="O11" s="36">
        <f>Assumptions!O19</f>
        <v>3.229790855184362E-2</v>
      </c>
      <c r="P11" s="36">
        <f>Assumptions!P19</f>
        <v>3.229790855184362E-2</v>
      </c>
      <c r="Q11" s="36">
        <f>Assumptions!Q19</f>
        <v>3.229790855184362E-2</v>
      </c>
      <c r="R11" s="36">
        <f>Assumptions!R19</f>
        <v>3.229790855184362E-2</v>
      </c>
      <c r="S11" s="36">
        <f>Assumptions!S19</f>
        <v>3.229790855184362E-2</v>
      </c>
      <c r="T11" s="36">
        <f>Assumptions!T19</f>
        <v>3.229790855184362E-2</v>
      </c>
      <c r="U11" s="36">
        <f>Assumptions!U19</f>
        <v>3.229790855184362E-2</v>
      </c>
      <c r="V11" s="36">
        <f>Assumptions!V19</f>
        <v>3.229790855184362E-2</v>
      </c>
      <c r="W11" s="36">
        <f>Assumptions!W19</f>
        <v>3.229790855184362E-2</v>
      </c>
      <c r="X11" s="36">
        <f>Assumptions!X19</f>
        <v>3.229790855184362E-2</v>
      </c>
    </row>
    <row r="12" spans="1:24" s="25" customFormat="1" x14ac:dyDescent="0.2">
      <c r="A12" s="33" t="s">
        <v>25</v>
      </c>
      <c r="B12" s="33"/>
      <c r="C12" s="33"/>
      <c r="D12" s="33"/>
      <c r="E12" s="36">
        <f>Assumptions!E17</f>
        <v>0.27</v>
      </c>
      <c r="F12" s="36">
        <f>Assumptions!F17</f>
        <v>0.27</v>
      </c>
      <c r="G12" s="36">
        <f>Assumptions!G17</f>
        <v>0.27</v>
      </c>
      <c r="H12" s="36">
        <f>Assumptions!H17</f>
        <v>0.27</v>
      </c>
      <c r="I12" s="36">
        <f>Assumptions!I17</f>
        <v>0.27</v>
      </c>
      <c r="J12" s="36">
        <f>Assumptions!J17</f>
        <v>0.27</v>
      </c>
      <c r="K12" s="36">
        <f>Assumptions!K17</f>
        <v>0.27</v>
      </c>
      <c r="L12" s="36">
        <f>Assumptions!L17</f>
        <v>0.27</v>
      </c>
      <c r="M12" s="36">
        <f>Assumptions!M17</f>
        <v>0.27</v>
      </c>
      <c r="N12" s="36">
        <f>Assumptions!N17</f>
        <v>0.27</v>
      </c>
      <c r="O12" s="36">
        <f>Assumptions!O17</f>
        <v>0.27</v>
      </c>
      <c r="P12" s="36">
        <f>Assumptions!P17</f>
        <v>0.27</v>
      </c>
      <c r="Q12" s="36">
        <f>Assumptions!Q17</f>
        <v>0.27</v>
      </c>
      <c r="R12" s="36">
        <f>Assumptions!R17</f>
        <v>0.27</v>
      </c>
      <c r="S12" s="36">
        <f>Assumptions!S17</f>
        <v>0.27</v>
      </c>
      <c r="T12" s="36">
        <f>Assumptions!T17</f>
        <v>0.27</v>
      </c>
      <c r="U12" s="36">
        <f>Assumptions!U17</f>
        <v>0.27</v>
      </c>
      <c r="V12" s="36">
        <f>Assumptions!V17</f>
        <v>0.27</v>
      </c>
      <c r="W12" s="36">
        <f>Assumptions!W17</f>
        <v>0.27</v>
      </c>
      <c r="X12" s="36">
        <f>Assumptions!X17</f>
        <v>0.27</v>
      </c>
    </row>
    <row r="13" spans="1:24" s="25" customFormat="1" x14ac:dyDescent="0.2">
      <c r="A13" s="33" t="str">
        <f>Assumptions!A12</f>
        <v>Equity Ratio (%)</v>
      </c>
      <c r="B13" s="33"/>
      <c r="C13" s="33"/>
      <c r="D13" s="33"/>
      <c r="E13" s="35">
        <f>Assumptions!E12</f>
        <v>0.37</v>
      </c>
      <c r="F13" s="35">
        <f>Assumptions!F12</f>
        <v>0.37</v>
      </c>
      <c r="G13" s="35">
        <f>Assumptions!G12</f>
        <v>0.37</v>
      </c>
      <c r="H13" s="35">
        <f>Assumptions!H12</f>
        <v>0.37</v>
      </c>
      <c r="I13" s="35">
        <f>Assumptions!I12</f>
        <v>0.37</v>
      </c>
      <c r="J13" s="35">
        <f>Assumptions!J12</f>
        <v>0.37</v>
      </c>
      <c r="K13" s="35">
        <f>Assumptions!K12</f>
        <v>0.37</v>
      </c>
      <c r="L13" s="35">
        <f>Assumptions!L12</f>
        <v>0.37</v>
      </c>
      <c r="M13" s="35">
        <f>Assumptions!M12</f>
        <v>0.37</v>
      </c>
      <c r="N13" s="35">
        <f>Assumptions!N12</f>
        <v>0.37</v>
      </c>
      <c r="O13" s="35">
        <f>Assumptions!O12</f>
        <v>0.37</v>
      </c>
      <c r="P13" s="35">
        <f>Assumptions!P12</f>
        <v>0.37</v>
      </c>
      <c r="Q13" s="35">
        <f>Assumptions!Q12</f>
        <v>0.37</v>
      </c>
      <c r="R13" s="35">
        <f>Assumptions!R12</f>
        <v>0.37</v>
      </c>
      <c r="S13" s="35">
        <f>Assumptions!S12</f>
        <v>0.37</v>
      </c>
      <c r="T13" s="35">
        <f>Assumptions!T12</f>
        <v>0.37</v>
      </c>
      <c r="U13" s="35">
        <f>Assumptions!U12</f>
        <v>0.37</v>
      </c>
      <c r="V13" s="35">
        <f>Assumptions!V12</f>
        <v>0.37</v>
      </c>
      <c r="W13" s="35">
        <f>Assumptions!W12</f>
        <v>0.37</v>
      </c>
      <c r="X13" s="35">
        <f>Assumptions!X12</f>
        <v>0.37</v>
      </c>
    </row>
    <row r="14" spans="1:24" s="25" customFormat="1" x14ac:dyDescent="0.2">
      <c r="A14" s="33" t="str">
        <f>Assumptions!A13</f>
        <v>Cost of Debt (%)</v>
      </c>
      <c r="B14" s="33"/>
      <c r="C14" s="33"/>
      <c r="D14" s="33"/>
      <c r="E14" s="36">
        <f>Assumptions!E13</f>
        <v>4.3978969804294152E-2</v>
      </c>
      <c r="F14" s="36">
        <f>Assumptions!F13</f>
        <v>4.3978969804294152E-2</v>
      </c>
      <c r="G14" s="36">
        <f>Assumptions!G13</f>
        <v>4.3978969804294152E-2</v>
      </c>
      <c r="H14" s="36">
        <f>Assumptions!H13</f>
        <v>4.3978969804294152E-2</v>
      </c>
      <c r="I14" s="36">
        <f>Assumptions!I13</f>
        <v>4.3978969804294152E-2</v>
      </c>
      <c r="J14" s="36">
        <f>Assumptions!J13</f>
        <v>4.3978969804294152E-2</v>
      </c>
      <c r="K14" s="36">
        <f>Assumptions!K13</f>
        <v>4.3978969804294152E-2</v>
      </c>
      <c r="L14" s="36">
        <f>Assumptions!L13</f>
        <v>4.3978969804294152E-2</v>
      </c>
      <c r="M14" s="36">
        <f>Assumptions!M13</f>
        <v>4.3978969804294152E-2</v>
      </c>
      <c r="N14" s="36">
        <f>Assumptions!N13</f>
        <v>4.3978969804294152E-2</v>
      </c>
      <c r="O14" s="36">
        <f>Assumptions!O13</f>
        <v>4.3978969804294152E-2</v>
      </c>
      <c r="P14" s="36">
        <f>Assumptions!P13</f>
        <v>4.3978969804294152E-2</v>
      </c>
      <c r="Q14" s="36">
        <f>Assumptions!Q13</f>
        <v>4.3978969804294152E-2</v>
      </c>
      <c r="R14" s="36">
        <f>Assumptions!R13</f>
        <v>4.3978969804294152E-2</v>
      </c>
      <c r="S14" s="36">
        <f>Assumptions!S13</f>
        <v>4.3978969804294152E-2</v>
      </c>
      <c r="T14" s="36">
        <f>Assumptions!T13</f>
        <v>4.3978969804294152E-2</v>
      </c>
      <c r="U14" s="36">
        <f>Assumptions!U13</f>
        <v>4.3978969804294152E-2</v>
      </c>
      <c r="V14" s="36">
        <f>Assumptions!V13</f>
        <v>4.3978969804294152E-2</v>
      </c>
      <c r="W14" s="36">
        <f>Assumptions!W13</f>
        <v>4.3978969804294152E-2</v>
      </c>
      <c r="X14" s="36">
        <f>Assumptions!X13</f>
        <v>4.3978969804294152E-2</v>
      </c>
    </row>
    <row r="15" spans="1:24" s="25" customFormat="1" x14ac:dyDescent="0.2">
      <c r="A15" s="33" t="str">
        <f>Assumptions!A11</f>
        <v>After-Tax Return on Equity (%)</v>
      </c>
      <c r="B15" s="33"/>
      <c r="C15" s="33"/>
      <c r="D15" s="33"/>
      <c r="E15" s="34">
        <f>Assumptions!E11</f>
        <v>8.5000000000000006E-2</v>
      </c>
      <c r="F15" s="34">
        <f>Assumptions!F11</f>
        <v>8.5000000000000006E-2</v>
      </c>
      <c r="G15" s="34">
        <f>Assumptions!G11</f>
        <v>8.5000000000000006E-2</v>
      </c>
      <c r="H15" s="34">
        <f>Assumptions!H11</f>
        <v>8.5000000000000006E-2</v>
      </c>
      <c r="I15" s="34">
        <f>Assumptions!I11</f>
        <v>8.5000000000000006E-2</v>
      </c>
      <c r="J15" s="34">
        <f>Assumptions!J11</f>
        <v>8.5000000000000006E-2</v>
      </c>
      <c r="K15" s="34">
        <f>Assumptions!K11</f>
        <v>8.5000000000000006E-2</v>
      </c>
      <c r="L15" s="34">
        <f>Assumptions!L11</f>
        <v>8.5000000000000006E-2</v>
      </c>
      <c r="M15" s="34">
        <f>Assumptions!M11</f>
        <v>8.5000000000000006E-2</v>
      </c>
      <c r="N15" s="34">
        <f>Assumptions!N11</f>
        <v>8.5000000000000006E-2</v>
      </c>
      <c r="O15" s="34">
        <f>Assumptions!O11</f>
        <v>8.5000000000000006E-2</v>
      </c>
      <c r="P15" s="34">
        <f>Assumptions!P11</f>
        <v>8.5000000000000006E-2</v>
      </c>
      <c r="Q15" s="34">
        <f>Assumptions!Q11</f>
        <v>8.5000000000000006E-2</v>
      </c>
      <c r="R15" s="34">
        <f>Assumptions!R11</f>
        <v>8.5000000000000006E-2</v>
      </c>
      <c r="S15" s="34">
        <f>Assumptions!S11</f>
        <v>8.5000000000000006E-2</v>
      </c>
      <c r="T15" s="34">
        <f>Assumptions!T11</f>
        <v>8.5000000000000006E-2</v>
      </c>
      <c r="U15" s="34">
        <f>Assumptions!U11</f>
        <v>8.5000000000000006E-2</v>
      </c>
      <c r="V15" s="34">
        <f>Assumptions!V11</f>
        <v>8.5000000000000006E-2</v>
      </c>
      <c r="W15" s="34">
        <f>Assumptions!W11</f>
        <v>8.5000000000000006E-2</v>
      </c>
      <c r="X15" s="34">
        <f>Assumptions!X11</f>
        <v>8.5000000000000006E-2</v>
      </c>
    </row>
    <row r="16" spans="1:24" s="25" customFormat="1" x14ac:dyDescent="0.2">
      <c r="A16" s="33" t="s">
        <v>72</v>
      </c>
      <c r="B16" s="33"/>
      <c r="C16" s="33"/>
      <c r="D16" s="33"/>
      <c r="E16" s="34">
        <f>Assumptions!E14</f>
        <v>5.8026540674748259E-2</v>
      </c>
      <c r="F16" s="34">
        <f>Assumptions!F14</f>
        <v>5.8026540674748259E-2</v>
      </c>
      <c r="G16" s="34">
        <f>Assumptions!G14</f>
        <v>5.8026540674748259E-2</v>
      </c>
      <c r="H16" s="34">
        <f>Assumptions!H14</f>
        <v>5.8026540674748259E-2</v>
      </c>
      <c r="I16" s="34">
        <f>Assumptions!I14</f>
        <v>5.8026540674748259E-2</v>
      </c>
      <c r="J16" s="34">
        <f>Assumptions!J14</f>
        <v>5.8026540674748259E-2</v>
      </c>
      <c r="K16" s="34">
        <f>Assumptions!K14</f>
        <v>5.8026540674748259E-2</v>
      </c>
      <c r="L16" s="34">
        <f>Assumptions!L14</f>
        <v>5.8026540674748259E-2</v>
      </c>
      <c r="M16" s="34">
        <f>Assumptions!M14</f>
        <v>5.8026540674748259E-2</v>
      </c>
      <c r="N16" s="34">
        <f>Assumptions!N14</f>
        <v>5.8026540674748259E-2</v>
      </c>
      <c r="O16" s="34">
        <f>Assumptions!O14</f>
        <v>5.8026540674748259E-2</v>
      </c>
      <c r="P16" s="34">
        <f>Assumptions!P14</f>
        <v>5.8026540674748259E-2</v>
      </c>
      <c r="Q16" s="34">
        <f>Assumptions!Q14</f>
        <v>5.8026540674748259E-2</v>
      </c>
      <c r="R16" s="34">
        <f>Assumptions!R14</f>
        <v>5.8026540674748259E-2</v>
      </c>
      <c r="S16" s="34">
        <f>Assumptions!S14</f>
        <v>5.8026540674748259E-2</v>
      </c>
      <c r="T16" s="34">
        <f>Assumptions!T14</f>
        <v>5.8026540674748259E-2</v>
      </c>
      <c r="U16" s="34">
        <f>Assumptions!U14</f>
        <v>5.8026540674748259E-2</v>
      </c>
      <c r="V16" s="34">
        <f>Assumptions!V14</f>
        <v>5.8026540674748259E-2</v>
      </c>
      <c r="W16" s="34">
        <f>Assumptions!W14</f>
        <v>5.8026540674748259E-2</v>
      </c>
      <c r="X16" s="34">
        <f>Assumptions!X14</f>
        <v>5.8026540674748259E-2</v>
      </c>
    </row>
    <row r="17" spans="1:24" x14ac:dyDescent="0.2">
      <c r="A17" s="3"/>
    </row>
    <row r="18" spans="1:24" s="163" customFormat="1" x14ac:dyDescent="0.2">
      <c r="A18" s="6" t="s">
        <v>14</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row>
    <row r="19" spans="1:24" x14ac:dyDescent="0.2">
      <c r="A19" s="48"/>
      <c r="B19" s="48"/>
      <c r="C19" s="48"/>
      <c r="D19" s="48"/>
    </row>
    <row r="20" spans="1:24" x14ac:dyDescent="0.2">
      <c r="A20" s="83" t="s">
        <v>41</v>
      </c>
      <c r="B20" s="83"/>
      <c r="C20" s="83"/>
      <c r="D20" s="83"/>
      <c r="E20" s="83">
        <f t="shared" ref="E20:V20" si="19">E9</f>
        <v>2020</v>
      </c>
      <c r="F20" s="83">
        <f t="shared" si="19"/>
        <v>2021</v>
      </c>
      <c r="G20" s="83">
        <f t="shared" si="19"/>
        <v>2022</v>
      </c>
      <c r="H20" s="83">
        <f t="shared" si="19"/>
        <v>2023</v>
      </c>
      <c r="I20" s="83">
        <f t="shared" si="19"/>
        <v>2024</v>
      </c>
      <c r="J20" s="83">
        <f t="shared" si="19"/>
        <v>2025</v>
      </c>
      <c r="K20" s="83">
        <f t="shared" si="19"/>
        <v>2026</v>
      </c>
      <c r="L20" s="83">
        <f t="shared" si="19"/>
        <v>2027</v>
      </c>
      <c r="M20" s="83">
        <f t="shared" si="19"/>
        <v>2028</v>
      </c>
      <c r="N20" s="83">
        <f t="shared" si="19"/>
        <v>2029</v>
      </c>
      <c r="O20" s="83">
        <f t="shared" si="19"/>
        <v>2030</v>
      </c>
      <c r="P20" s="83">
        <f t="shared" si="19"/>
        <v>2031</v>
      </c>
      <c r="Q20" s="83">
        <f t="shared" si="19"/>
        <v>2032</v>
      </c>
      <c r="R20" s="83">
        <f t="shared" si="19"/>
        <v>2033</v>
      </c>
      <c r="S20" s="83">
        <f t="shared" si="19"/>
        <v>2034</v>
      </c>
      <c r="T20" s="83">
        <f t="shared" si="19"/>
        <v>2035</v>
      </c>
      <c r="U20" s="83">
        <f t="shared" si="19"/>
        <v>2036</v>
      </c>
      <c r="V20" s="83">
        <f t="shared" si="19"/>
        <v>2037</v>
      </c>
      <c r="W20" s="83">
        <f t="shared" ref="W20:X20" si="20">W9</f>
        <v>2038</v>
      </c>
      <c r="X20" s="83">
        <f t="shared" si="20"/>
        <v>2039</v>
      </c>
    </row>
    <row r="21" spans="1:24" x14ac:dyDescent="0.2">
      <c r="A21" s="45" t="s">
        <v>36</v>
      </c>
      <c r="B21" s="45"/>
      <c r="C21" s="45"/>
      <c r="D21" s="45"/>
      <c r="E21" s="143">
        <f>[1]Sheet1!$D6/1000000+[1]Sheet1!$H6+[1]Sheet1!$J6+[1]Sheet1!$N6/1000</f>
        <v>413.50477491798313</v>
      </c>
      <c r="F21" s="143">
        <f>E21*(1+Assumptions!F65)</f>
        <v>423.13915893982113</v>
      </c>
      <c r="G21" s="143">
        <f>F21*(1+Assumptions!G65)</f>
        <v>433.18626394367737</v>
      </c>
      <c r="H21" s="143">
        <f>G21*(1+Assumptions!H65)</f>
        <v>443.68601908650339</v>
      </c>
      <c r="I21" s="143">
        <f>H21*(1+Assumptions!I65)</f>
        <v>455.02921658569358</v>
      </c>
      <c r="J21" s="143">
        <f>I21*(1+Assumptions!J65)</f>
        <v>466.37839911890467</v>
      </c>
      <c r="K21" s="143">
        <f>J21*(1+Assumptions!K65)</f>
        <v>477.28444299068423</v>
      </c>
      <c r="L21" s="143">
        <f>K21*(1+Assumptions!L65)</f>
        <v>488.27854706249497</v>
      </c>
      <c r="M21" s="143">
        <f>L21*(1+Assumptions!M65)</f>
        <v>499.44946025511229</v>
      </c>
      <c r="N21" s="143">
        <f>M21*(1+Assumptions!N65)</f>
        <v>510.95301894994651</v>
      </c>
      <c r="O21" s="143">
        <f>N21*(1+Assumptions!O65)</f>
        <v>522.86001817732449</v>
      </c>
      <c r="P21" s="143">
        <f>O21*(1+Assumptions!P65)</f>
        <v>535.17909634858256</v>
      </c>
      <c r="Q21" s="143">
        <f>P21*(1+Assumptions!Q65)</f>
        <v>547.76541303981298</v>
      </c>
      <c r="R21" s="143">
        <f>Q21*(1+Assumptions!R65)</f>
        <v>560.63904601580691</v>
      </c>
      <c r="S21" s="143">
        <f>R21*(1+Assumptions!S65)</f>
        <v>573.78526347059608</v>
      </c>
      <c r="T21" s="143">
        <f>S21*(1+Assumptions!T65)</f>
        <v>587.24623631594545</v>
      </c>
      <c r="U21" s="143">
        <f>T21*(1+Assumptions!U65)</f>
        <v>601.00167440672772</v>
      </c>
      <c r="V21" s="143">
        <f>U21*(1+Assumptions!V65)</f>
        <v>615.0417466430406</v>
      </c>
      <c r="W21" s="143">
        <f>V21*(1+Assumptions!W65)</f>
        <v>629.35982503086962</v>
      </c>
      <c r="X21" s="143">
        <f>W21*(1+Assumptions!X65)</f>
        <v>644.03234052730443</v>
      </c>
    </row>
    <row r="22" spans="1:24" x14ac:dyDescent="0.2">
      <c r="A22" s="45" t="s">
        <v>87</v>
      </c>
      <c r="B22" s="45"/>
      <c r="C22" s="45"/>
      <c r="D22" s="45"/>
      <c r="E22" s="143">
        <f>[1]Sheet1!$D7/1000000+[1]Sheet1!$H7+[1]Sheet1!$J7+[1]Sheet1!$N7/1000</f>
        <v>573.10914766240126</v>
      </c>
      <c r="F22" s="143">
        <f>[1]Sheet1!$D7/1000000+[1]Sheet1!$H7+[1]Sheet1!$J7+[1]Sheet1!$N7/1000</f>
        <v>573.10914766240126</v>
      </c>
      <c r="G22" s="143">
        <f>[1]Sheet1!$D7/1000000+[1]Sheet1!$H7+[1]Sheet1!$J7+[1]Sheet1!$N7/1000</f>
        <v>573.10914766240126</v>
      </c>
      <c r="H22" s="143">
        <f>[1]Sheet1!$D7/1000000+[1]Sheet1!$H7+[1]Sheet1!$J7+[1]Sheet1!$N7/1000</f>
        <v>573.10914766240126</v>
      </c>
      <c r="I22" s="143">
        <f>[1]Sheet1!$D7/1000000+[1]Sheet1!$H7+[1]Sheet1!$J7+[1]Sheet1!$N7/1000</f>
        <v>573.10914766240126</v>
      </c>
      <c r="J22" s="143">
        <f>[1]Sheet1!$D7/1000000+[1]Sheet1!$H7+[1]Sheet1!$J7+[1]Sheet1!$N7/1000</f>
        <v>573.10914766240126</v>
      </c>
      <c r="K22" s="143">
        <f>[1]Sheet1!$D7/1000000+[1]Sheet1!$H7+[1]Sheet1!$J7+[1]Sheet1!$N7/1000</f>
        <v>573.10914766240126</v>
      </c>
      <c r="L22" s="143">
        <f>[1]Sheet1!$D7/1000000+[1]Sheet1!$H7+[1]Sheet1!$J7+[1]Sheet1!$N7/1000</f>
        <v>573.10914766240126</v>
      </c>
      <c r="M22" s="143">
        <f>[1]Sheet1!$D7/1000000+[1]Sheet1!$H7+[1]Sheet1!$J7+[1]Sheet1!$N7/1000</f>
        <v>573.10914766240126</v>
      </c>
      <c r="N22" s="143">
        <f>[1]Sheet1!$D7/1000000+[1]Sheet1!$H7+[1]Sheet1!$J7+[1]Sheet1!$N7/1000</f>
        <v>573.10914766240126</v>
      </c>
      <c r="O22" s="143">
        <f>[1]Sheet1!$D7/1000000+[1]Sheet1!$H7+[1]Sheet1!$J7+[1]Sheet1!$N7/1000</f>
        <v>573.10914766240126</v>
      </c>
      <c r="P22" s="143">
        <f>[1]Sheet1!$D7/1000000+[1]Sheet1!$H7+[1]Sheet1!$J7+[1]Sheet1!$N7/1000</f>
        <v>573.10914766240126</v>
      </c>
      <c r="Q22" s="143">
        <f>[1]Sheet1!$D7/1000000+[1]Sheet1!$H7+[1]Sheet1!$J7+[1]Sheet1!$N7/1000</f>
        <v>573.10914766240126</v>
      </c>
      <c r="R22" s="143">
        <f>[1]Sheet1!$D7/1000000+[1]Sheet1!$H7+[1]Sheet1!$J7+[1]Sheet1!$N7/1000</f>
        <v>573.10914766240126</v>
      </c>
      <c r="S22" s="143">
        <f>[1]Sheet1!$D7/1000000+[1]Sheet1!$H7+[1]Sheet1!$J7+[1]Sheet1!$N7/1000</f>
        <v>573.10914766240126</v>
      </c>
      <c r="T22" s="143">
        <f>[1]Sheet1!$D7/1000000+[1]Sheet1!$H7+[1]Sheet1!$J7+[1]Sheet1!$N7/1000</f>
        <v>573.10914766240126</v>
      </c>
      <c r="U22" s="143">
        <f>[1]Sheet1!$D7/1000000+[1]Sheet1!$H7+[1]Sheet1!$J7+[1]Sheet1!$N7/1000</f>
        <v>573.10914766240126</v>
      </c>
      <c r="V22" s="143">
        <f>[1]Sheet1!$D7/1000000+[1]Sheet1!$H7+[1]Sheet1!$J7+[1]Sheet1!$N7/1000</f>
        <v>573.10914766240126</v>
      </c>
      <c r="W22" s="143">
        <f>[1]Sheet1!$D7/1000000+[1]Sheet1!$H7+[1]Sheet1!$J7+[1]Sheet1!$N7/1000</f>
        <v>573.10914766240126</v>
      </c>
      <c r="X22" s="143">
        <f>[1]Sheet1!$D7/1000000+[1]Sheet1!$H7+[1]Sheet1!$J7+[1]Sheet1!$N7/1000</f>
        <v>573.10914766240126</v>
      </c>
    </row>
    <row r="23" spans="1:24" x14ac:dyDescent="0.2">
      <c r="A23" s="45" t="s">
        <v>0</v>
      </c>
      <c r="B23" s="45"/>
      <c r="C23" s="45"/>
      <c r="D23" s="45"/>
      <c r="E23" s="143">
        <f>[1]Sheet1!$D8/1000000+[1]Sheet1!$H8+[1]Sheet1!$J8+[1]Sheet1!$N8/1000</f>
        <v>39.946040571592462</v>
      </c>
      <c r="F23" s="143">
        <f>[1]Sheet1!$D8/1000000+[1]Sheet1!$H8+[1]Sheet1!$J8+[1]Sheet1!$N8/1000</f>
        <v>39.946040571592462</v>
      </c>
      <c r="G23" s="143">
        <f>[1]Sheet1!$D8/1000000+[1]Sheet1!$H8+[1]Sheet1!$J8+[1]Sheet1!$N8/1000</f>
        <v>39.946040571592462</v>
      </c>
      <c r="H23" s="143">
        <f>[1]Sheet1!$D8/1000000+[1]Sheet1!$H8+[1]Sheet1!$J8+[1]Sheet1!$N8/1000</f>
        <v>39.946040571592462</v>
      </c>
      <c r="I23" s="143">
        <f>[1]Sheet1!$D8/1000000+[1]Sheet1!$H8+[1]Sheet1!$J8+[1]Sheet1!$N8/1000</f>
        <v>39.946040571592462</v>
      </c>
      <c r="J23" s="143">
        <f>[1]Sheet1!$D8/1000000+[1]Sheet1!$H8+[1]Sheet1!$J8+[1]Sheet1!$N8/1000</f>
        <v>39.946040571592462</v>
      </c>
      <c r="K23" s="143">
        <f>[1]Sheet1!$D8/1000000+[1]Sheet1!$H8+[1]Sheet1!$J8+[1]Sheet1!$N8/1000</f>
        <v>39.946040571592462</v>
      </c>
      <c r="L23" s="143">
        <f>[1]Sheet1!$D8/1000000+[1]Sheet1!$H8+[1]Sheet1!$J8+[1]Sheet1!$N8/1000</f>
        <v>39.946040571592462</v>
      </c>
      <c r="M23" s="143">
        <f>[1]Sheet1!$D8/1000000+[1]Sheet1!$H8+[1]Sheet1!$J8+[1]Sheet1!$N8/1000</f>
        <v>39.946040571592462</v>
      </c>
      <c r="N23" s="143">
        <f>[1]Sheet1!$D8/1000000+[1]Sheet1!$H8+[1]Sheet1!$J8+[1]Sheet1!$N8/1000</f>
        <v>39.946040571592462</v>
      </c>
      <c r="O23" s="143">
        <f>[1]Sheet1!$D8/1000000+[1]Sheet1!$H8+[1]Sheet1!$J8+[1]Sheet1!$N8/1000</f>
        <v>39.946040571592462</v>
      </c>
      <c r="P23" s="143">
        <f>[1]Sheet1!$D8/1000000+[1]Sheet1!$H8+[1]Sheet1!$J8+[1]Sheet1!$N8/1000</f>
        <v>39.946040571592462</v>
      </c>
      <c r="Q23" s="143">
        <f>[1]Sheet1!$D8/1000000+[1]Sheet1!$H8+[1]Sheet1!$J8+[1]Sheet1!$N8/1000</f>
        <v>39.946040571592462</v>
      </c>
      <c r="R23" s="143">
        <f>[1]Sheet1!$D8/1000000+[1]Sheet1!$H8+[1]Sheet1!$J8+[1]Sheet1!$N8/1000</f>
        <v>39.946040571592462</v>
      </c>
      <c r="S23" s="143">
        <f>[1]Sheet1!$D8/1000000+[1]Sheet1!$H8+[1]Sheet1!$J8+[1]Sheet1!$N8/1000</f>
        <v>39.946040571592462</v>
      </c>
      <c r="T23" s="143">
        <f>[1]Sheet1!$D8/1000000+[1]Sheet1!$H8+[1]Sheet1!$J8+[1]Sheet1!$N8/1000</f>
        <v>39.946040571592462</v>
      </c>
      <c r="U23" s="143">
        <f>[1]Sheet1!$D8/1000000+[1]Sheet1!$H8+[1]Sheet1!$J8+[1]Sheet1!$N8/1000</f>
        <v>39.946040571592462</v>
      </c>
      <c r="V23" s="143">
        <f>[1]Sheet1!$D8/1000000+[1]Sheet1!$H8+[1]Sheet1!$J8+[1]Sheet1!$N8/1000</f>
        <v>39.946040571592462</v>
      </c>
      <c r="W23" s="143">
        <f>[1]Sheet1!$D8/1000000+[1]Sheet1!$H8+[1]Sheet1!$J8+[1]Sheet1!$N8/1000</f>
        <v>39.946040571592462</v>
      </c>
      <c r="X23" s="143">
        <f>[1]Sheet1!$D8/1000000+[1]Sheet1!$H8+[1]Sheet1!$J8+[1]Sheet1!$N8/1000</f>
        <v>39.946040571592462</v>
      </c>
    </row>
    <row r="24" spans="1:24" x14ac:dyDescent="0.2">
      <c r="A24" s="45" t="s">
        <v>1</v>
      </c>
      <c r="B24" s="45"/>
      <c r="C24" s="45"/>
      <c r="D24" s="45"/>
      <c r="E24" s="143">
        <f>E47*(1-E13)*E14</f>
        <v>377.47304440675316</v>
      </c>
      <c r="F24" s="143">
        <f>F47*(1-F13)*F14</f>
        <v>361.59405196999916</v>
      </c>
      <c r="G24" s="143">
        <f t="shared" ref="G24:V24" si="21">G47*(1-G13)*G14</f>
        <v>345.71505953324515</v>
      </c>
      <c r="H24" s="143">
        <f t="shared" si="21"/>
        <v>329.83606709649121</v>
      </c>
      <c r="I24" s="143">
        <f t="shared" si="21"/>
        <v>313.9570746597372</v>
      </c>
      <c r="J24" s="143">
        <f t="shared" si="21"/>
        <v>298.0780822229832</v>
      </c>
      <c r="K24" s="143">
        <f t="shared" si="21"/>
        <v>282.19908978622919</v>
      </c>
      <c r="L24" s="143">
        <f t="shared" si="21"/>
        <v>266.32009734947525</v>
      </c>
      <c r="M24" s="143">
        <f t="shared" si="21"/>
        <v>250.44110491272124</v>
      </c>
      <c r="N24" s="143">
        <f t="shared" si="21"/>
        <v>234.56211247596733</v>
      </c>
      <c r="O24" s="143">
        <f t="shared" si="21"/>
        <v>218.68312003921332</v>
      </c>
      <c r="P24" s="143">
        <f t="shared" si="21"/>
        <v>202.80412760245937</v>
      </c>
      <c r="Q24" s="143">
        <f t="shared" si="21"/>
        <v>186.92513516570537</v>
      </c>
      <c r="R24" s="143">
        <f t="shared" si="21"/>
        <v>171.04614272895142</v>
      </c>
      <c r="S24" s="143">
        <f t="shared" si="21"/>
        <v>155.16715029219742</v>
      </c>
      <c r="T24" s="143">
        <f t="shared" si="21"/>
        <v>139.2881578554435</v>
      </c>
      <c r="U24" s="143">
        <f t="shared" si="21"/>
        <v>123.40916541868948</v>
      </c>
      <c r="V24" s="143">
        <f t="shared" si="21"/>
        <v>107.53017298193556</v>
      </c>
      <c r="W24" s="143">
        <f t="shared" ref="W24:X24" si="22">W47*(1-W13)*W14</f>
        <v>91.651180545181546</v>
      </c>
      <c r="X24" s="143">
        <f t="shared" si="22"/>
        <v>75.772188108427628</v>
      </c>
    </row>
    <row r="25" spans="1:24" x14ac:dyDescent="0.2">
      <c r="A25" s="196" t="s">
        <v>2</v>
      </c>
      <c r="B25" s="180"/>
      <c r="C25" s="180"/>
      <c r="D25" s="180"/>
      <c r="E25" s="188">
        <f>E47*E13*E15</f>
        <v>428.47056504652869</v>
      </c>
      <c r="F25" s="188">
        <f>F47*F13*F15</f>
        <v>410.44628235254618</v>
      </c>
      <c r="G25" s="188">
        <f t="shared" ref="G25:V25" si="23">G47*G13*G15</f>
        <v>392.42199965856366</v>
      </c>
      <c r="H25" s="188">
        <f t="shared" si="23"/>
        <v>374.39771696458115</v>
      </c>
      <c r="I25" s="188">
        <f t="shared" si="23"/>
        <v>356.37343427059852</v>
      </c>
      <c r="J25" s="188">
        <f t="shared" si="23"/>
        <v>338.34915157661607</v>
      </c>
      <c r="K25" s="188">
        <f t="shared" si="23"/>
        <v>320.32486888263355</v>
      </c>
      <c r="L25" s="188">
        <f t="shared" si="23"/>
        <v>302.3005861886511</v>
      </c>
      <c r="M25" s="188">
        <f t="shared" si="23"/>
        <v>284.27630349466853</v>
      </c>
      <c r="N25" s="188">
        <f t="shared" si="23"/>
        <v>266.25202080068607</v>
      </c>
      <c r="O25" s="188">
        <f t="shared" si="23"/>
        <v>248.22773810670353</v>
      </c>
      <c r="P25" s="188">
        <f t="shared" si="23"/>
        <v>230.20345541272104</v>
      </c>
      <c r="Q25" s="188">
        <f t="shared" si="23"/>
        <v>212.1791727187385</v>
      </c>
      <c r="R25" s="188">
        <f t="shared" si="23"/>
        <v>194.15489002475604</v>
      </c>
      <c r="S25" s="188">
        <f t="shared" si="23"/>
        <v>176.1306073307735</v>
      </c>
      <c r="T25" s="188">
        <f t="shared" si="23"/>
        <v>158.10632463679104</v>
      </c>
      <c r="U25" s="188">
        <f t="shared" si="23"/>
        <v>140.0820419428085</v>
      </c>
      <c r="V25" s="188">
        <f t="shared" si="23"/>
        <v>122.05775924882604</v>
      </c>
      <c r="W25" s="188">
        <f t="shared" ref="W25:X25" si="24">W47*W13*W15</f>
        <v>104.03347655484349</v>
      </c>
      <c r="X25" s="188">
        <f t="shared" si="24"/>
        <v>86.009193860861046</v>
      </c>
    </row>
    <row r="26" spans="1:24" x14ac:dyDescent="0.2">
      <c r="A26" s="32" t="s">
        <v>211</v>
      </c>
      <c r="B26" s="32"/>
      <c r="C26" s="32"/>
      <c r="D26" s="32"/>
      <c r="E26" s="147">
        <f>[1]Sheet1!$T$10+[1]Sheet1!$T$11</f>
        <v>-38.253255065063065</v>
      </c>
      <c r="F26" s="147">
        <f t="shared" ref="F26:V26" si="25">E26</f>
        <v>-38.253255065063065</v>
      </c>
      <c r="G26" s="147">
        <f t="shared" si="25"/>
        <v>-38.253255065063065</v>
      </c>
      <c r="H26" s="147">
        <f t="shared" si="25"/>
        <v>-38.253255065063065</v>
      </c>
      <c r="I26" s="147">
        <f t="shared" si="25"/>
        <v>-38.253255065063065</v>
      </c>
      <c r="J26" s="147">
        <f t="shared" si="25"/>
        <v>-38.253255065063065</v>
      </c>
      <c r="K26" s="147">
        <f t="shared" si="25"/>
        <v>-38.253255065063065</v>
      </c>
      <c r="L26" s="147">
        <f t="shared" si="25"/>
        <v>-38.253255065063065</v>
      </c>
      <c r="M26" s="147">
        <f t="shared" si="25"/>
        <v>-38.253255065063065</v>
      </c>
      <c r="N26" s="147">
        <f t="shared" si="25"/>
        <v>-38.253255065063065</v>
      </c>
      <c r="O26" s="147">
        <f t="shared" si="25"/>
        <v>-38.253255065063065</v>
      </c>
      <c r="P26" s="147">
        <f t="shared" si="25"/>
        <v>-38.253255065063065</v>
      </c>
      <c r="Q26" s="147">
        <f t="shared" si="25"/>
        <v>-38.253255065063065</v>
      </c>
      <c r="R26" s="147">
        <f t="shared" si="25"/>
        <v>-38.253255065063065</v>
      </c>
      <c r="S26" s="147">
        <f t="shared" si="25"/>
        <v>-38.253255065063065</v>
      </c>
      <c r="T26" s="147">
        <f t="shared" si="25"/>
        <v>-38.253255065063065</v>
      </c>
      <c r="U26" s="147">
        <f t="shared" si="25"/>
        <v>-38.253255065063065</v>
      </c>
      <c r="V26" s="147">
        <f t="shared" si="25"/>
        <v>-38.253255065063065</v>
      </c>
      <c r="W26" s="147">
        <f t="shared" ref="W26" si="26">V26</f>
        <v>-38.253255065063065</v>
      </c>
      <c r="X26" s="147">
        <f t="shared" ref="X26" si="27">W26</f>
        <v>-38.253255065063065</v>
      </c>
    </row>
    <row r="27" spans="1:24" x14ac:dyDescent="0.2">
      <c r="A27" s="114" t="s">
        <v>77</v>
      </c>
      <c r="B27" s="114"/>
      <c r="C27" s="114"/>
      <c r="D27" s="114"/>
      <c r="E27" s="146">
        <f>SUM(E21:E26)</f>
        <v>1794.2503175401957</v>
      </c>
      <c r="F27" s="146">
        <f>SUM(F21:F26)</f>
        <v>1769.981426431297</v>
      </c>
      <c r="G27" s="146">
        <f t="shared" ref="G27:V27" si="28">SUM(G21:G26)</f>
        <v>1746.125256304417</v>
      </c>
      <c r="H27" s="146">
        <f t="shared" si="28"/>
        <v>1722.7217363165064</v>
      </c>
      <c r="I27" s="146">
        <f t="shared" si="28"/>
        <v>1700.16165868496</v>
      </c>
      <c r="J27" s="146">
        <f t="shared" si="28"/>
        <v>1677.6075660874346</v>
      </c>
      <c r="K27" s="146">
        <f t="shared" si="28"/>
        <v>1654.6103348284778</v>
      </c>
      <c r="L27" s="146">
        <f t="shared" si="28"/>
        <v>1631.7011637695518</v>
      </c>
      <c r="M27" s="146">
        <f t="shared" si="28"/>
        <v>1608.968801831433</v>
      </c>
      <c r="N27" s="146">
        <f t="shared" si="28"/>
        <v>1586.5690853955305</v>
      </c>
      <c r="O27" s="146">
        <f t="shared" si="28"/>
        <v>1564.5728094921719</v>
      </c>
      <c r="P27" s="146">
        <f t="shared" si="28"/>
        <v>1542.9886125326937</v>
      </c>
      <c r="Q27" s="146">
        <f t="shared" si="28"/>
        <v>1521.6716540931875</v>
      </c>
      <c r="R27" s="146">
        <f t="shared" si="28"/>
        <v>1500.6420119384452</v>
      </c>
      <c r="S27" s="146">
        <f t="shared" si="28"/>
        <v>1479.8849542624978</v>
      </c>
      <c r="T27" s="146">
        <f t="shared" si="28"/>
        <v>1459.4426519771107</v>
      </c>
      <c r="U27" s="146">
        <f t="shared" si="28"/>
        <v>1439.2948149371564</v>
      </c>
      <c r="V27" s="146">
        <f t="shared" si="28"/>
        <v>1419.4316120427327</v>
      </c>
      <c r="W27" s="146">
        <f t="shared" ref="W27:X27" si="29">SUM(W21:W26)</f>
        <v>1399.8464152998251</v>
      </c>
      <c r="X27" s="146">
        <f t="shared" si="29"/>
        <v>1380.6156556655237</v>
      </c>
    </row>
    <row r="28" spans="1:24" x14ac:dyDescent="0.2">
      <c r="A28" s="25"/>
      <c r="B28" s="25"/>
      <c r="C28" s="25"/>
      <c r="D28" s="25"/>
      <c r="E28" s="38"/>
      <c r="F28" s="38"/>
      <c r="G28" s="38"/>
      <c r="H28" s="38"/>
      <c r="I28" s="38"/>
      <c r="J28" s="38"/>
      <c r="K28" s="38"/>
      <c r="L28" s="38"/>
      <c r="M28" s="38"/>
      <c r="N28" s="38"/>
      <c r="O28" s="38"/>
      <c r="P28" s="38"/>
      <c r="Q28" s="38"/>
      <c r="R28" s="38"/>
      <c r="S28" s="38"/>
      <c r="T28" s="38"/>
      <c r="U28" s="38"/>
      <c r="V28" s="38"/>
      <c r="W28" s="38"/>
      <c r="X28" s="38"/>
    </row>
    <row r="29" spans="1:24" x14ac:dyDescent="0.2">
      <c r="A29" s="83" t="s">
        <v>78</v>
      </c>
      <c r="B29" s="83"/>
      <c r="C29" s="83"/>
      <c r="D29" s="83"/>
      <c r="E29" s="83">
        <f t="shared" ref="E29:V29" si="30">E9</f>
        <v>2020</v>
      </c>
      <c r="F29" s="83">
        <f t="shared" si="30"/>
        <v>2021</v>
      </c>
      <c r="G29" s="83">
        <f t="shared" si="30"/>
        <v>2022</v>
      </c>
      <c r="H29" s="83">
        <f t="shared" si="30"/>
        <v>2023</v>
      </c>
      <c r="I29" s="83">
        <f t="shared" si="30"/>
        <v>2024</v>
      </c>
      <c r="J29" s="83">
        <f t="shared" si="30"/>
        <v>2025</v>
      </c>
      <c r="K29" s="83">
        <f t="shared" si="30"/>
        <v>2026</v>
      </c>
      <c r="L29" s="83">
        <f t="shared" si="30"/>
        <v>2027</v>
      </c>
      <c r="M29" s="83">
        <f t="shared" si="30"/>
        <v>2028</v>
      </c>
      <c r="N29" s="83">
        <f t="shared" si="30"/>
        <v>2029</v>
      </c>
      <c r="O29" s="83">
        <f t="shared" si="30"/>
        <v>2030</v>
      </c>
      <c r="P29" s="83">
        <f t="shared" si="30"/>
        <v>2031</v>
      </c>
      <c r="Q29" s="83">
        <f t="shared" si="30"/>
        <v>2032</v>
      </c>
      <c r="R29" s="83">
        <f t="shared" si="30"/>
        <v>2033</v>
      </c>
      <c r="S29" s="83">
        <f t="shared" si="30"/>
        <v>2034</v>
      </c>
      <c r="T29" s="83">
        <f t="shared" si="30"/>
        <v>2035</v>
      </c>
      <c r="U29" s="83">
        <f t="shared" si="30"/>
        <v>2036</v>
      </c>
      <c r="V29" s="83">
        <f t="shared" si="30"/>
        <v>2037</v>
      </c>
      <c r="W29" s="83">
        <f t="shared" ref="W29:X29" si="31">W9</f>
        <v>2038</v>
      </c>
      <c r="X29" s="83">
        <f t="shared" si="31"/>
        <v>2039</v>
      </c>
    </row>
    <row r="30" spans="1:24" x14ac:dyDescent="0.2">
      <c r="A30" s="41" t="s">
        <v>79</v>
      </c>
      <c r="B30" s="41"/>
      <c r="C30" s="41"/>
      <c r="D30" s="41"/>
      <c r="E30" s="147">
        <f>[1]Sheet1!$D$14/1000000+[1]Sheet1!$H$14+[1]Sheet1!$J$14+([1]Sheet1!$N$14+[1]Sheet1!$P$14)/1000</f>
        <v>20636.393193173724</v>
      </c>
      <c r="F30" s="147">
        <f t="shared" ref="F30" si="32">E32</f>
        <v>20636.393193173724</v>
      </c>
      <c r="G30" s="147">
        <f t="shared" ref="G30" si="33">F32</f>
        <v>20636.393193173724</v>
      </c>
      <c r="H30" s="147">
        <f t="shared" ref="H30" si="34">G32</f>
        <v>20636.393193173724</v>
      </c>
      <c r="I30" s="147">
        <f t="shared" ref="I30" si="35">H32</f>
        <v>20636.393193173724</v>
      </c>
      <c r="J30" s="147">
        <f t="shared" ref="J30" si="36">I32</f>
        <v>20636.393193173724</v>
      </c>
      <c r="K30" s="147">
        <f t="shared" ref="K30" si="37">J32</f>
        <v>20636.393193173724</v>
      </c>
      <c r="L30" s="147">
        <f t="shared" ref="L30" si="38">K32</f>
        <v>20636.393193173724</v>
      </c>
      <c r="M30" s="147">
        <f t="shared" ref="M30" si="39">L32</f>
        <v>20636.393193173724</v>
      </c>
      <c r="N30" s="147">
        <f t="shared" ref="N30" si="40">M32</f>
        <v>20636.393193173724</v>
      </c>
      <c r="O30" s="147">
        <f t="shared" ref="O30" si="41">N32</f>
        <v>20636.393193173724</v>
      </c>
      <c r="P30" s="147">
        <f t="shared" ref="P30" si="42">O32</f>
        <v>20636.393193173724</v>
      </c>
      <c r="Q30" s="147">
        <f t="shared" ref="Q30" si="43">P32</f>
        <v>20636.393193173724</v>
      </c>
      <c r="R30" s="147">
        <f t="shared" ref="R30" si="44">Q32</f>
        <v>20636.393193173724</v>
      </c>
      <c r="S30" s="147">
        <f t="shared" ref="S30" si="45">R32</f>
        <v>20636.393193173724</v>
      </c>
      <c r="T30" s="147">
        <f t="shared" ref="T30" si="46">S32</f>
        <v>20636.393193173724</v>
      </c>
      <c r="U30" s="147">
        <f t="shared" ref="U30" si="47">T32</f>
        <v>20636.393193173724</v>
      </c>
      <c r="V30" s="147">
        <f t="shared" ref="V30" si="48">U32</f>
        <v>20636.393193173724</v>
      </c>
      <c r="W30" s="147">
        <f t="shared" ref="W30" si="49">V32</f>
        <v>20636.393193173724</v>
      </c>
      <c r="X30" s="147">
        <f t="shared" ref="X30" si="50">W32</f>
        <v>20636.393193173724</v>
      </c>
    </row>
    <row r="31" spans="1:24" x14ac:dyDescent="0.2">
      <c r="A31" s="150" t="s">
        <v>75</v>
      </c>
      <c r="B31" s="150"/>
      <c r="C31" s="150"/>
      <c r="D31" s="150"/>
      <c r="E31" s="148">
        <v>0</v>
      </c>
      <c r="F31" s="148">
        <f t="shared" ref="F31:V31" si="51">E31</f>
        <v>0</v>
      </c>
      <c r="G31" s="148">
        <f t="shared" si="51"/>
        <v>0</v>
      </c>
      <c r="H31" s="148">
        <f t="shared" si="51"/>
        <v>0</v>
      </c>
      <c r="I31" s="148">
        <f t="shared" si="51"/>
        <v>0</v>
      </c>
      <c r="J31" s="148">
        <f t="shared" si="51"/>
        <v>0</v>
      </c>
      <c r="K31" s="148">
        <f t="shared" si="51"/>
        <v>0</v>
      </c>
      <c r="L31" s="148">
        <f t="shared" si="51"/>
        <v>0</v>
      </c>
      <c r="M31" s="148">
        <f t="shared" si="51"/>
        <v>0</v>
      </c>
      <c r="N31" s="148">
        <f t="shared" si="51"/>
        <v>0</v>
      </c>
      <c r="O31" s="148">
        <f t="shared" si="51"/>
        <v>0</v>
      </c>
      <c r="P31" s="148">
        <f t="shared" si="51"/>
        <v>0</v>
      </c>
      <c r="Q31" s="148">
        <f t="shared" si="51"/>
        <v>0</v>
      </c>
      <c r="R31" s="148">
        <f t="shared" si="51"/>
        <v>0</v>
      </c>
      <c r="S31" s="148">
        <f t="shared" si="51"/>
        <v>0</v>
      </c>
      <c r="T31" s="148">
        <f t="shared" si="51"/>
        <v>0</v>
      </c>
      <c r="U31" s="148">
        <f t="shared" si="51"/>
        <v>0</v>
      </c>
      <c r="V31" s="148">
        <f t="shared" si="51"/>
        <v>0</v>
      </c>
      <c r="W31" s="148">
        <f t="shared" ref="W31" si="52">V31</f>
        <v>0</v>
      </c>
      <c r="X31" s="148">
        <f t="shared" ref="X31" si="53">W31</f>
        <v>0</v>
      </c>
    </row>
    <row r="32" spans="1:24" x14ac:dyDescent="0.2">
      <c r="A32" s="41" t="s">
        <v>10</v>
      </c>
      <c r="B32" s="41"/>
      <c r="C32" s="41"/>
      <c r="D32" s="41"/>
      <c r="E32" s="147">
        <f t="shared" ref="E32:V32" si="54">E30+E31</f>
        <v>20636.393193173724</v>
      </c>
      <c r="F32" s="147">
        <f t="shared" si="54"/>
        <v>20636.393193173724</v>
      </c>
      <c r="G32" s="147">
        <f t="shared" si="54"/>
        <v>20636.393193173724</v>
      </c>
      <c r="H32" s="147">
        <f t="shared" si="54"/>
        <v>20636.393193173724</v>
      </c>
      <c r="I32" s="147">
        <f t="shared" si="54"/>
        <v>20636.393193173724</v>
      </c>
      <c r="J32" s="147">
        <f t="shared" si="54"/>
        <v>20636.393193173724</v>
      </c>
      <c r="K32" s="147">
        <f t="shared" si="54"/>
        <v>20636.393193173724</v>
      </c>
      <c r="L32" s="147">
        <f t="shared" si="54"/>
        <v>20636.393193173724</v>
      </c>
      <c r="M32" s="147">
        <f t="shared" si="54"/>
        <v>20636.393193173724</v>
      </c>
      <c r="N32" s="147">
        <f t="shared" si="54"/>
        <v>20636.393193173724</v>
      </c>
      <c r="O32" s="147">
        <f t="shared" si="54"/>
        <v>20636.393193173724</v>
      </c>
      <c r="P32" s="147">
        <f t="shared" si="54"/>
        <v>20636.393193173724</v>
      </c>
      <c r="Q32" s="147">
        <f t="shared" si="54"/>
        <v>20636.393193173724</v>
      </c>
      <c r="R32" s="147">
        <f t="shared" si="54"/>
        <v>20636.393193173724</v>
      </c>
      <c r="S32" s="147">
        <f t="shared" si="54"/>
        <v>20636.393193173724</v>
      </c>
      <c r="T32" s="147">
        <f t="shared" si="54"/>
        <v>20636.393193173724</v>
      </c>
      <c r="U32" s="147">
        <f t="shared" si="54"/>
        <v>20636.393193173724</v>
      </c>
      <c r="V32" s="147">
        <f t="shared" si="54"/>
        <v>20636.393193173724</v>
      </c>
      <c r="W32" s="147">
        <f t="shared" ref="W32:X32" si="55">W30+W31</f>
        <v>20636.393193173724</v>
      </c>
      <c r="X32" s="147">
        <f t="shared" si="55"/>
        <v>20636.393193173724</v>
      </c>
    </row>
    <row r="33" spans="1:24" x14ac:dyDescent="0.2">
      <c r="A33" s="45" t="s">
        <v>80</v>
      </c>
      <c r="B33" s="41"/>
      <c r="C33" s="41"/>
      <c r="D33" s="41"/>
      <c r="E33" s="147">
        <f t="shared" ref="E33:V33" si="56">(E30+E32)/2</f>
        <v>20636.393193173724</v>
      </c>
      <c r="F33" s="147">
        <f t="shared" si="56"/>
        <v>20636.393193173724</v>
      </c>
      <c r="G33" s="147">
        <f t="shared" si="56"/>
        <v>20636.393193173724</v>
      </c>
      <c r="H33" s="147">
        <f t="shared" si="56"/>
        <v>20636.393193173724</v>
      </c>
      <c r="I33" s="147">
        <f t="shared" si="56"/>
        <v>20636.393193173724</v>
      </c>
      <c r="J33" s="147">
        <f t="shared" si="56"/>
        <v>20636.393193173724</v>
      </c>
      <c r="K33" s="147">
        <f t="shared" si="56"/>
        <v>20636.393193173724</v>
      </c>
      <c r="L33" s="147">
        <f t="shared" si="56"/>
        <v>20636.393193173724</v>
      </c>
      <c r="M33" s="147">
        <f t="shared" si="56"/>
        <v>20636.393193173724</v>
      </c>
      <c r="N33" s="147">
        <f t="shared" si="56"/>
        <v>20636.393193173724</v>
      </c>
      <c r="O33" s="147">
        <f t="shared" si="56"/>
        <v>20636.393193173724</v>
      </c>
      <c r="P33" s="147">
        <f t="shared" si="56"/>
        <v>20636.393193173724</v>
      </c>
      <c r="Q33" s="147">
        <f t="shared" si="56"/>
        <v>20636.393193173724</v>
      </c>
      <c r="R33" s="147">
        <f t="shared" si="56"/>
        <v>20636.393193173724</v>
      </c>
      <c r="S33" s="147">
        <f t="shared" si="56"/>
        <v>20636.393193173724</v>
      </c>
      <c r="T33" s="147">
        <f t="shared" si="56"/>
        <v>20636.393193173724</v>
      </c>
      <c r="U33" s="147">
        <f t="shared" si="56"/>
        <v>20636.393193173724</v>
      </c>
      <c r="V33" s="147">
        <f t="shared" si="56"/>
        <v>20636.393193173724</v>
      </c>
      <c r="W33" s="147">
        <f t="shared" ref="W33:X33" si="57">(W30+W32)/2</f>
        <v>20636.393193173724</v>
      </c>
      <c r="X33" s="147">
        <f t="shared" si="57"/>
        <v>20636.393193173724</v>
      </c>
    </row>
    <row r="34" spans="1:24" s="5" customFormat="1" x14ac:dyDescent="0.2">
      <c r="A34" s="42"/>
      <c r="B34" s="42"/>
      <c r="C34" s="42"/>
      <c r="D34" s="42"/>
      <c r="E34" s="39"/>
      <c r="F34" s="39"/>
      <c r="G34" s="39"/>
      <c r="H34" s="39"/>
      <c r="I34" s="39"/>
      <c r="J34" s="39"/>
      <c r="K34" s="39"/>
      <c r="L34" s="39"/>
      <c r="M34" s="39"/>
      <c r="N34" s="39"/>
      <c r="O34" s="39"/>
      <c r="P34" s="39"/>
      <c r="Q34" s="39"/>
      <c r="R34" s="39"/>
      <c r="S34" s="39"/>
      <c r="T34" s="39"/>
      <c r="U34" s="39"/>
      <c r="V34" s="39"/>
      <c r="W34" s="39"/>
      <c r="X34" s="39"/>
    </row>
    <row r="35" spans="1:24" s="25" customFormat="1" x14ac:dyDescent="0.2">
      <c r="A35" s="83" t="s">
        <v>81</v>
      </c>
      <c r="B35" s="83"/>
      <c r="C35" s="83"/>
      <c r="D35" s="83"/>
      <c r="E35" s="83">
        <f t="shared" ref="E35:V35" si="58">E9</f>
        <v>2020</v>
      </c>
      <c r="F35" s="83">
        <f t="shared" si="58"/>
        <v>2021</v>
      </c>
      <c r="G35" s="83">
        <f t="shared" si="58"/>
        <v>2022</v>
      </c>
      <c r="H35" s="83">
        <f t="shared" si="58"/>
        <v>2023</v>
      </c>
      <c r="I35" s="83">
        <f t="shared" si="58"/>
        <v>2024</v>
      </c>
      <c r="J35" s="83">
        <f t="shared" si="58"/>
        <v>2025</v>
      </c>
      <c r="K35" s="83">
        <f t="shared" si="58"/>
        <v>2026</v>
      </c>
      <c r="L35" s="83">
        <f t="shared" si="58"/>
        <v>2027</v>
      </c>
      <c r="M35" s="83">
        <f t="shared" si="58"/>
        <v>2028</v>
      </c>
      <c r="N35" s="83">
        <f t="shared" si="58"/>
        <v>2029</v>
      </c>
      <c r="O35" s="83">
        <f t="shared" si="58"/>
        <v>2030</v>
      </c>
      <c r="P35" s="83">
        <f t="shared" si="58"/>
        <v>2031</v>
      </c>
      <c r="Q35" s="83">
        <f t="shared" si="58"/>
        <v>2032</v>
      </c>
      <c r="R35" s="83">
        <f t="shared" si="58"/>
        <v>2033</v>
      </c>
      <c r="S35" s="83">
        <f t="shared" si="58"/>
        <v>2034</v>
      </c>
      <c r="T35" s="83">
        <f t="shared" si="58"/>
        <v>2035</v>
      </c>
      <c r="U35" s="83">
        <f t="shared" si="58"/>
        <v>2036</v>
      </c>
      <c r="V35" s="83">
        <f t="shared" si="58"/>
        <v>2037</v>
      </c>
      <c r="W35" s="83">
        <f t="shared" ref="W35:X35" si="59">W9</f>
        <v>2038</v>
      </c>
      <c r="X35" s="83">
        <f t="shared" si="59"/>
        <v>2039</v>
      </c>
    </row>
    <row r="36" spans="1:24" x14ac:dyDescent="0.2">
      <c r="A36" s="45" t="s">
        <v>79</v>
      </c>
      <c r="B36" s="45"/>
      <c r="C36" s="45"/>
      <c r="D36" s="45"/>
      <c r="E36" s="143">
        <f>-[1]Sheet1!$D$15/1000000-[1]Sheet1!$H$15-[1]Sheet1!$J$15-([1]Sheet1!$N$15+[1]Sheet1!$P$15)/1000</f>
        <v>4629.9163542611604</v>
      </c>
      <c r="F36" s="143">
        <f t="shared" ref="F36" si="60">E38</f>
        <v>5203.0255019235619</v>
      </c>
      <c r="G36" s="143">
        <f t="shared" ref="G36" si="61">F38</f>
        <v>5776.1346495859634</v>
      </c>
      <c r="H36" s="143">
        <f t="shared" ref="H36" si="62">G38</f>
        <v>6349.2437972483649</v>
      </c>
      <c r="I36" s="143">
        <f t="shared" ref="I36" si="63">H38</f>
        <v>6922.3529449107664</v>
      </c>
      <c r="J36" s="143">
        <f t="shared" ref="J36" si="64">I38</f>
        <v>7495.4620925731679</v>
      </c>
      <c r="K36" s="143">
        <f t="shared" ref="K36" si="65">J38</f>
        <v>8068.5712402355693</v>
      </c>
      <c r="L36" s="143">
        <f t="shared" ref="L36" si="66">K38</f>
        <v>8641.6803878979699</v>
      </c>
      <c r="M36" s="143">
        <f t="shared" ref="M36" si="67">L38</f>
        <v>9214.7895355603705</v>
      </c>
      <c r="N36" s="143">
        <f t="shared" ref="N36" si="68">M38</f>
        <v>9787.8986832227711</v>
      </c>
      <c r="O36" s="143">
        <f t="shared" ref="O36" si="69">N38</f>
        <v>10361.007830885172</v>
      </c>
      <c r="P36" s="143">
        <f t="shared" ref="P36" si="70">O38</f>
        <v>10934.116978547572</v>
      </c>
      <c r="Q36" s="143">
        <f t="shared" ref="Q36" si="71">P38</f>
        <v>11507.226126209973</v>
      </c>
      <c r="R36" s="143">
        <f t="shared" ref="R36" si="72">Q38</f>
        <v>12080.335273872373</v>
      </c>
      <c r="S36" s="143">
        <f t="shared" ref="S36" si="73">R38</f>
        <v>12653.444421534774</v>
      </c>
      <c r="T36" s="143">
        <f t="shared" ref="T36" si="74">S38</f>
        <v>13226.553569197175</v>
      </c>
      <c r="U36" s="143">
        <f t="shared" ref="U36" si="75">T38</f>
        <v>13799.662716859575</v>
      </c>
      <c r="V36" s="143">
        <f t="shared" ref="V36" si="76">U38</f>
        <v>14372.771864521976</v>
      </c>
      <c r="W36" s="143">
        <f t="shared" ref="W36" si="77">V38</f>
        <v>14945.881012184376</v>
      </c>
      <c r="X36" s="143">
        <f t="shared" ref="X36" si="78">W38</f>
        <v>15518.990159846777</v>
      </c>
    </row>
    <row r="37" spans="1:24" x14ac:dyDescent="0.2">
      <c r="A37" s="150" t="s">
        <v>87</v>
      </c>
      <c r="B37" s="150"/>
      <c r="C37" s="150"/>
      <c r="D37" s="150"/>
      <c r="E37" s="148">
        <f>E22</f>
        <v>573.10914766240126</v>
      </c>
      <c r="F37" s="148">
        <f t="shared" ref="F37:X37" si="79">F22</f>
        <v>573.10914766240126</v>
      </c>
      <c r="G37" s="148">
        <f t="shared" si="79"/>
        <v>573.10914766240126</v>
      </c>
      <c r="H37" s="148">
        <f t="shared" si="79"/>
        <v>573.10914766240126</v>
      </c>
      <c r="I37" s="148">
        <f t="shared" si="79"/>
        <v>573.10914766240126</v>
      </c>
      <c r="J37" s="148">
        <f t="shared" si="79"/>
        <v>573.10914766240126</v>
      </c>
      <c r="K37" s="148">
        <f t="shared" si="79"/>
        <v>573.10914766240126</v>
      </c>
      <c r="L37" s="148">
        <f t="shared" si="79"/>
        <v>573.10914766240126</v>
      </c>
      <c r="M37" s="148">
        <f t="shared" si="79"/>
        <v>573.10914766240126</v>
      </c>
      <c r="N37" s="148">
        <f t="shared" si="79"/>
        <v>573.10914766240126</v>
      </c>
      <c r="O37" s="148">
        <f t="shared" si="79"/>
        <v>573.10914766240126</v>
      </c>
      <c r="P37" s="148">
        <f t="shared" si="79"/>
        <v>573.10914766240126</v>
      </c>
      <c r="Q37" s="148">
        <f t="shared" si="79"/>
        <v>573.10914766240126</v>
      </c>
      <c r="R37" s="148">
        <f t="shared" si="79"/>
        <v>573.10914766240126</v>
      </c>
      <c r="S37" s="148">
        <f t="shared" si="79"/>
        <v>573.10914766240126</v>
      </c>
      <c r="T37" s="148">
        <f t="shared" si="79"/>
        <v>573.10914766240126</v>
      </c>
      <c r="U37" s="148">
        <f t="shared" si="79"/>
        <v>573.10914766240126</v>
      </c>
      <c r="V37" s="148">
        <f t="shared" si="79"/>
        <v>573.10914766240126</v>
      </c>
      <c r="W37" s="148">
        <f t="shared" si="79"/>
        <v>573.10914766240126</v>
      </c>
      <c r="X37" s="148">
        <f t="shared" si="79"/>
        <v>573.10914766240126</v>
      </c>
    </row>
    <row r="38" spans="1:24" x14ac:dyDescent="0.2">
      <c r="A38" s="41" t="s">
        <v>10</v>
      </c>
      <c r="B38" s="41"/>
      <c r="C38" s="41"/>
      <c r="D38" s="41"/>
      <c r="E38" s="147">
        <f t="shared" ref="E38:V38" si="80">SUM(E36:E37)</f>
        <v>5203.0255019235619</v>
      </c>
      <c r="F38" s="147">
        <f t="shared" si="80"/>
        <v>5776.1346495859634</v>
      </c>
      <c r="G38" s="147">
        <f t="shared" si="80"/>
        <v>6349.2437972483649</v>
      </c>
      <c r="H38" s="147">
        <f t="shared" si="80"/>
        <v>6922.3529449107664</v>
      </c>
      <c r="I38" s="147">
        <f t="shared" si="80"/>
        <v>7495.4620925731679</v>
      </c>
      <c r="J38" s="147">
        <f t="shared" si="80"/>
        <v>8068.5712402355693</v>
      </c>
      <c r="K38" s="147">
        <f t="shared" si="80"/>
        <v>8641.6803878979699</v>
      </c>
      <c r="L38" s="147">
        <f t="shared" si="80"/>
        <v>9214.7895355603705</v>
      </c>
      <c r="M38" s="147">
        <f t="shared" si="80"/>
        <v>9787.8986832227711</v>
      </c>
      <c r="N38" s="147">
        <f t="shared" si="80"/>
        <v>10361.007830885172</v>
      </c>
      <c r="O38" s="147">
        <f t="shared" si="80"/>
        <v>10934.116978547572</v>
      </c>
      <c r="P38" s="147">
        <f t="shared" si="80"/>
        <v>11507.226126209973</v>
      </c>
      <c r="Q38" s="147">
        <f t="shared" si="80"/>
        <v>12080.335273872373</v>
      </c>
      <c r="R38" s="147">
        <f t="shared" si="80"/>
        <v>12653.444421534774</v>
      </c>
      <c r="S38" s="147">
        <f t="shared" si="80"/>
        <v>13226.553569197175</v>
      </c>
      <c r="T38" s="147">
        <f t="shared" si="80"/>
        <v>13799.662716859575</v>
      </c>
      <c r="U38" s="147">
        <f t="shared" si="80"/>
        <v>14372.771864521976</v>
      </c>
      <c r="V38" s="147">
        <f t="shared" si="80"/>
        <v>14945.881012184376</v>
      </c>
      <c r="W38" s="147">
        <f t="shared" ref="W38:X38" si="81">SUM(W36:W37)</f>
        <v>15518.990159846777</v>
      </c>
      <c r="X38" s="147">
        <f t="shared" si="81"/>
        <v>16092.099307509177</v>
      </c>
    </row>
    <row r="39" spans="1:24" s="25" customFormat="1" x14ac:dyDescent="0.2">
      <c r="A39" s="45" t="s">
        <v>80</v>
      </c>
      <c r="B39" s="45"/>
      <c r="C39" s="45"/>
      <c r="D39" s="45"/>
      <c r="E39" s="143">
        <f t="shared" ref="E39:V39" si="82">(E36+E38)/2</f>
        <v>4916.4709280923616</v>
      </c>
      <c r="F39" s="143">
        <f t="shared" si="82"/>
        <v>5489.5800757547622</v>
      </c>
      <c r="G39" s="143">
        <f t="shared" si="82"/>
        <v>6062.6892234171646</v>
      </c>
      <c r="H39" s="143">
        <f t="shared" si="82"/>
        <v>6635.7983710795652</v>
      </c>
      <c r="I39" s="143">
        <f t="shared" si="82"/>
        <v>7208.9075187419676</v>
      </c>
      <c r="J39" s="143">
        <f t="shared" si="82"/>
        <v>7782.0166664043682</v>
      </c>
      <c r="K39" s="143">
        <f t="shared" si="82"/>
        <v>8355.1258140667705</v>
      </c>
      <c r="L39" s="143">
        <f t="shared" si="82"/>
        <v>8928.2349617291693</v>
      </c>
      <c r="M39" s="143">
        <f t="shared" si="82"/>
        <v>9501.3441093915717</v>
      </c>
      <c r="N39" s="143">
        <f t="shared" si="82"/>
        <v>10074.45325705397</v>
      </c>
      <c r="O39" s="143">
        <f t="shared" si="82"/>
        <v>10647.562404716373</v>
      </c>
      <c r="P39" s="143">
        <f t="shared" si="82"/>
        <v>11220.671552378772</v>
      </c>
      <c r="Q39" s="143">
        <f t="shared" si="82"/>
        <v>11793.780700041174</v>
      </c>
      <c r="R39" s="143">
        <f t="shared" si="82"/>
        <v>12366.889847703573</v>
      </c>
      <c r="S39" s="143">
        <f t="shared" si="82"/>
        <v>12939.998995365975</v>
      </c>
      <c r="T39" s="143">
        <f t="shared" si="82"/>
        <v>13513.108143028374</v>
      </c>
      <c r="U39" s="143">
        <f t="shared" si="82"/>
        <v>14086.217290690776</v>
      </c>
      <c r="V39" s="143">
        <f t="shared" si="82"/>
        <v>14659.326438353175</v>
      </c>
      <c r="W39" s="143">
        <f t="shared" ref="W39:X39" si="83">(W36+W38)/2</f>
        <v>15232.435586015577</v>
      </c>
      <c r="X39" s="143">
        <f t="shared" si="83"/>
        <v>15805.544733677976</v>
      </c>
    </row>
    <row r="40" spans="1:24" s="25" customFormat="1" x14ac:dyDescent="0.2">
      <c r="A40" s="46"/>
      <c r="B40" s="42"/>
      <c r="C40" s="42"/>
      <c r="D40" s="42"/>
      <c r="E40" s="39"/>
      <c r="F40" s="39"/>
      <c r="G40" s="39"/>
      <c r="H40" s="39"/>
      <c r="I40" s="39"/>
      <c r="J40" s="39"/>
      <c r="K40" s="39"/>
      <c r="L40" s="39"/>
      <c r="M40" s="39"/>
      <c r="N40" s="39"/>
      <c r="O40" s="39"/>
      <c r="P40" s="39"/>
      <c r="Q40" s="39"/>
      <c r="R40" s="39"/>
      <c r="S40" s="39"/>
      <c r="T40" s="39"/>
      <c r="U40" s="39"/>
      <c r="V40" s="39"/>
      <c r="W40" s="39"/>
      <c r="X40" s="39"/>
    </row>
    <row r="41" spans="1:24" s="25" customFormat="1" x14ac:dyDescent="0.2">
      <c r="A41" s="83" t="s">
        <v>85</v>
      </c>
      <c r="B41" s="83"/>
      <c r="C41" s="83"/>
      <c r="D41" s="83"/>
      <c r="E41" s="83">
        <f t="shared" ref="E41:V41" si="84">E9</f>
        <v>2020</v>
      </c>
      <c r="F41" s="83">
        <f t="shared" si="84"/>
        <v>2021</v>
      </c>
      <c r="G41" s="83">
        <f t="shared" si="84"/>
        <v>2022</v>
      </c>
      <c r="H41" s="83">
        <f t="shared" si="84"/>
        <v>2023</v>
      </c>
      <c r="I41" s="83">
        <f t="shared" si="84"/>
        <v>2024</v>
      </c>
      <c r="J41" s="83">
        <f t="shared" si="84"/>
        <v>2025</v>
      </c>
      <c r="K41" s="83">
        <f t="shared" si="84"/>
        <v>2026</v>
      </c>
      <c r="L41" s="83">
        <f t="shared" si="84"/>
        <v>2027</v>
      </c>
      <c r="M41" s="83">
        <f t="shared" si="84"/>
        <v>2028</v>
      </c>
      <c r="N41" s="83">
        <f t="shared" si="84"/>
        <v>2029</v>
      </c>
      <c r="O41" s="83">
        <f t="shared" si="84"/>
        <v>2030</v>
      </c>
      <c r="P41" s="83">
        <f t="shared" si="84"/>
        <v>2031</v>
      </c>
      <c r="Q41" s="83">
        <f t="shared" si="84"/>
        <v>2032</v>
      </c>
      <c r="R41" s="83">
        <f t="shared" si="84"/>
        <v>2033</v>
      </c>
      <c r="S41" s="83">
        <f t="shared" si="84"/>
        <v>2034</v>
      </c>
      <c r="T41" s="83">
        <f t="shared" si="84"/>
        <v>2035</v>
      </c>
      <c r="U41" s="83">
        <f t="shared" si="84"/>
        <v>2036</v>
      </c>
      <c r="V41" s="83">
        <f t="shared" si="84"/>
        <v>2037</v>
      </c>
      <c r="W41" s="83">
        <f t="shared" ref="W41:X41" si="85">W9</f>
        <v>2038</v>
      </c>
      <c r="X41" s="83">
        <f t="shared" si="85"/>
        <v>2039</v>
      </c>
    </row>
    <row r="42" spans="1:24" x14ac:dyDescent="0.2">
      <c r="A42" s="45" t="s">
        <v>82</v>
      </c>
      <c r="B42" s="49"/>
      <c r="C42" s="49"/>
      <c r="D42" s="51"/>
      <c r="E42" s="158">
        <f t="shared" ref="E42:V42" si="86">E33</f>
        <v>20636.393193173724</v>
      </c>
      <c r="F42" s="158">
        <f t="shared" si="86"/>
        <v>20636.393193173724</v>
      </c>
      <c r="G42" s="158">
        <f t="shared" si="86"/>
        <v>20636.393193173724</v>
      </c>
      <c r="H42" s="158">
        <f t="shared" si="86"/>
        <v>20636.393193173724</v>
      </c>
      <c r="I42" s="158">
        <f t="shared" si="86"/>
        <v>20636.393193173724</v>
      </c>
      <c r="J42" s="158">
        <f t="shared" si="86"/>
        <v>20636.393193173724</v>
      </c>
      <c r="K42" s="158">
        <f t="shared" si="86"/>
        <v>20636.393193173724</v>
      </c>
      <c r="L42" s="158">
        <f t="shared" si="86"/>
        <v>20636.393193173724</v>
      </c>
      <c r="M42" s="158">
        <f t="shared" si="86"/>
        <v>20636.393193173724</v>
      </c>
      <c r="N42" s="158">
        <f t="shared" si="86"/>
        <v>20636.393193173724</v>
      </c>
      <c r="O42" s="158">
        <f t="shared" si="86"/>
        <v>20636.393193173724</v>
      </c>
      <c r="P42" s="158">
        <f t="shared" si="86"/>
        <v>20636.393193173724</v>
      </c>
      <c r="Q42" s="158">
        <f t="shared" si="86"/>
        <v>20636.393193173724</v>
      </c>
      <c r="R42" s="158">
        <f t="shared" si="86"/>
        <v>20636.393193173724</v>
      </c>
      <c r="S42" s="158">
        <f t="shared" si="86"/>
        <v>20636.393193173724</v>
      </c>
      <c r="T42" s="158">
        <f t="shared" si="86"/>
        <v>20636.393193173724</v>
      </c>
      <c r="U42" s="158">
        <f t="shared" si="86"/>
        <v>20636.393193173724</v>
      </c>
      <c r="V42" s="158">
        <f t="shared" si="86"/>
        <v>20636.393193173724</v>
      </c>
      <c r="W42" s="158">
        <f t="shared" ref="W42:X42" si="87">W33</f>
        <v>20636.393193173724</v>
      </c>
      <c r="X42" s="158">
        <f t="shared" si="87"/>
        <v>20636.393193173724</v>
      </c>
    </row>
    <row r="43" spans="1:24" x14ac:dyDescent="0.2">
      <c r="A43" s="251" t="s">
        <v>213</v>
      </c>
      <c r="B43" s="49"/>
      <c r="C43" s="49"/>
      <c r="D43" s="51"/>
      <c r="E43" s="158">
        <f>[1]Sheet1!$D$24/1000000+[1]Sheet1!$H$24+[1]Sheet1!$J$24+[1]Sheet1!$N$24/1000</f>
        <v>184.23774747455883</v>
      </c>
      <c r="F43" s="158">
        <f t="shared" ref="F43" si="88">E43</f>
        <v>184.23774747455883</v>
      </c>
      <c r="G43" s="158">
        <f t="shared" ref="G43" si="89">F43</f>
        <v>184.23774747455883</v>
      </c>
      <c r="H43" s="158">
        <f t="shared" ref="H43" si="90">G43</f>
        <v>184.23774747455883</v>
      </c>
      <c r="I43" s="158">
        <f t="shared" ref="I43" si="91">H43</f>
        <v>184.23774747455883</v>
      </c>
      <c r="J43" s="158">
        <f t="shared" ref="J43" si="92">I43</f>
        <v>184.23774747455883</v>
      </c>
      <c r="K43" s="158">
        <f t="shared" ref="K43" si="93">J43</f>
        <v>184.23774747455883</v>
      </c>
      <c r="L43" s="158">
        <f t="shared" ref="L43" si="94">K43</f>
        <v>184.23774747455883</v>
      </c>
      <c r="M43" s="158">
        <f t="shared" ref="M43" si="95">L43</f>
        <v>184.23774747455883</v>
      </c>
      <c r="N43" s="158">
        <f t="shared" ref="N43" si="96">M43</f>
        <v>184.23774747455883</v>
      </c>
      <c r="O43" s="158">
        <f t="shared" ref="O43" si="97">N43</f>
        <v>184.23774747455883</v>
      </c>
      <c r="P43" s="158">
        <f t="shared" ref="P43" si="98">O43</f>
        <v>184.23774747455883</v>
      </c>
      <c r="Q43" s="158">
        <f t="shared" ref="Q43" si="99">P43</f>
        <v>184.23774747455883</v>
      </c>
      <c r="R43" s="158">
        <f t="shared" ref="R43" si="100">Q43</f>
        <v>184.23774747455883</v>
      </c>
      <c r="S43" s="158">
        <f t="shared" ref="S43" si="101">R43</f>
        <v>184.23774747455883</v>
      </c>
      <c r="T43" s="158">
        <f t="shared" ref="T43" si="102">S43</f>
        <v>184.23774747455883</v>
      </c>
      <c r="U43" s="158">
        <f t="shared" ref="U43" si="103">T43</f>
        <v>184.23774747455883</v>
      </c>
      <c r="V43" s="158">
        <f t="shared" ref="V43" si="104">U43</f>
        <v>184.23774747455883</v>
      </c>
      <c r="W43" s="158">
        <f t="shared" ref="W43" si="105">V43</f>
        <v>184.23774747455883</v>
      </c>
      <c r="X43" s="158">
        <f t="shared" ref="X43" si="106">W43</f>
        <v>184.23774747455883</v>
      </c>
    </row>
    <row r="44" spans="1:24" x14ac:dyDescent="0.2">
      <c r="A44" s="45" t="s">
        <v>135</v>
      </c>
      <c r="B44" s="49"/>
      <c r="C44" s="49"/>
      <c r="D44" s="51"/>
      <c r="E44" s="158">
        <f t="shared" ref="E44:V44" si="107">-E39</f>
        <v>-4916.4709280923616</v>
      </c>
      <c r="F44" s="158">
        <f t="shared" si="107"/>
        <v>-5489.5800757547622</v>
      </c>
      <c r="G44" s="158">
        <f t="shared" si="107"/>
        <v>-6062.6892234171646</v>
      </c>
      <c r="H44" s="158">
        <f t="shared" si="107"/>
        <v>-6635.7983710795652</v>
      </c>
      <c r="I44" s="158">
        <f t="shared" si="107"/>
        <v>-7208.9075187419676</v>
      </c>
      <c r="J44" s="158">
        <f t="shared" si="107"/>
        <v>-7782.0166664043682</v>
      </c>
      <c r="K44" s="158">
        <f t="shared" si="107"/>
        <v>-8355.1258140667705</v>
      </c>
      <c r="L44" s="158">
        <f t="shared" si="107"/>
        <v>-8928.2349617291693</v>
      </c>
      <c r="M44" s="158">
        <f t="shared" si="107"/>
        <v>-9501.3441093915717</v>
      </c>
      <c r="N44" s="158">
        <f t="shared" si="107"/>
        <v>-10074.45325705397</v>
      </c>
      <c r="O44" s="158">
        <f t="shared" si="107"/>
        <v>-10647.562404716373</v>
      </c>
      <c r="P44" s="158">
        <f t="shared" si="107"/>
        <v>-11220.671552378772</v>
      </c>
      <c r="Q44" s="158">
        <f t="shared" si="107"/>
        <v>-11793.780700041174</v>
      </c>
      <c r="R44" s="158">
        <f t="shared" si="107"/>
        <v>-12366.889847703573</v>
      </c>
      <c r="S44" s="158">
        <f t="shared" si="107"/>
        <v>-12939.998995365975</v>
      </c>
      <c r="T44" s="158">
        <f t="shared" si="107"/>
        <v>-13513.108143028374</v>
      </c>
      <c r="U44" s="158">
        <f t="shared" si="107"/>
        <v>-14086.217290690776</v>
      </c>
      <c r="V44" s="158">
        <f t="shared" si="107"/>
        <v>-14659.326438353175</v>
      </c>
      <c r="W44" s="158">
        <f t="shared" ref="W44:X44" si="108">-W39</f>
        <v>-15232.435586015577</v>
      </c>
      <c r="X44" s="158">
        <f t="shared" si="108"/>
        <v>-15805.544733677976</v>
      </c>
    </row>
    <row r="45" spans="1:24" x14ac:dyDescent="0.2">
      <c r="A45" s="249" t="s">
        <v>212</v>
      </c>
      <c r="B45" s="250"/>
      <c r="C45" s="250"/>
      <c r="D45" s="50"/>
      <c r="E45" s="186">
        <f>[1]Sheet1!$D$28/1000000+[1]Sheet1!$H$28+[1]Sheet1!$J$28+([1]Sheet1!$N$28+[1]Sheet1!$P$28)/1000</f>
        <v>-1671.2816400432409</v>
      </c>
      <c r="F45" s="186">
        <f t="shared" ref="F45:F46" si="109">E45</f>
        <v>-1671.2816400432409</v>
      </c>
      <c r="G45" s="186">
        <f t="shared" ref="G45:G46" si="110">F45</f>
        <v>-1671.2816400432409</v>
      </c>
      <c r="H45" s="186">
        <f t="shared" ref="H45:H46" si="111">G45</f>
        <v>-1671.2816400432409</v>
      </c>
      <c r="I45" s="186">
        <f t="shared" ref="I45:I46" si="112">H45</f>
        <v>-1671.2816400432409</v>
      </c>
      <c r="J45" s="186">
        <f t="shared" ref="J45:J46" si="113">I45</f>
        <v>-1671.2816400432409</v>
      </c>
      <c r="K45" s="186">
        <f t="shared" ref="K45:K46" si="114">J45</f>
        <v>-1671.2816400432409</v>
      </c>
      <c r="L45" s="186">
        <f t="shared" ref="L45:L46" si="115">K45</f>
        <v>-1671.2816400432409</v>
      </c>
      <c r="M45" s="186">
        <f t="shared" ref="M45:M46" si="116">L45</f>
        <v>-1671.2816400432409</v>
      </c>
      <c r="N45" s="186">
        <f t="shared" ref="N45:N46" si="117">M45</f>
        <v>-1671.2816400432409</v>
      </c>
      <c r="O45" s="186">
        <f t="shared" ref="O45:O46" si="118">N45</f>
        <v>-1671.2816400432409</v>
      </c>
      <c r="P45" s="186">
        <f t="shared" ref="P45:P46" si="119">O45</f>
        <v>-1671.2816400432409</v>
      </c>
      <c r="Q45" s="186">
        <f t="shared" ref="Q45:Q46" si="120">P45</f>
        <v>-1671.2816400432409</v>
      </c>
      <c r="R45" s="186">
        <f t="shared" ref="R45:R46" si="121">Q45</f>
        <v>-1671.2816400432409</v>
      </c>
      <c r="S45" s="186">
        <f t="shared" ref="S45:S46" si="122">R45</f>
        <v>-1671.2816400432409</v>
      </c>
      <c r="T45" s="186">
        <f t="shared" ref="T45:T46" si="123">S45</f>
        <v>-1671.2816400432409</v>
      </c>
      <c r="U45" s="186">
        <f t="shared" ref="U45:U46" si="124">T45</f>
        <v>-1671.2816400432409</v>
      </c>
      <c r="V45" s="186">
        <f t="shared" ref="V45:V46" si="125">U45</f>
        <v>-1671.2816400432409</v>
      </c>
      <c r="W45" s="186">
        <f t="shared" ref="W45:W46" si="126">V45</f>
        <v>-1671.2816400432409</v>
      </c>
      <c r="X45" s="186">
        <f t="shared" ref="X45:X46" si="127">W45</f>
        <v>-1671.2816400432409</v>
      </c>
    </row>
    <row r="46" spans="1:24" x14ac:dyDescent="0.2">
      <c r="A46" s="156" t="s">
        <v>90</v>
      </c>
      <c r="B46" s="157"/>
      <c r="C46" s="157"/>
      <c r="D46" s="156"/>
      <c r="E46" s="159">
        <f>[1]Sheet1!$J$30+[1]Sheet1!$N$30/1000</f>
        <v>-609.01302922083244</v>
      </c>
      <c r="F46" s="159">
        <f t="shared" si="109"/>
        <v>-609.01302922083244</v>
      </c>
      <c r="G46" s="159">
        <f t="shared" si="110"/>
        <v>-609.01302922083244</v>
      </c>
      <c r="H46" s="159">
        <f t="shared" si="111"/>
        <v>-609.01302922083244</v>
      </c>
      <c r="I46" s="159">
        <f t="shared" si="112"/>
        <v>-609.01302922083244</v>
      </c>
      <c r="J46" s="159">
        <f t="shared" si="113"/>
        <v>-609.01302922083244</v>
      </c>
      <c r="K46" s="159">
        <f t="shared" si="114"/>
        <v>-609.01302922083244</v>
      </c>
      <c r="L46" s="159">
        <f t="shared" si="115"/>
        <v>-609.01302922083244</v>
      </c>
      <c r="M46" s="159">
        <f t="shared" si="116"/>
        <v>-609.01302922083244</v>
      </c>
      <c r="N46" s="159">
        <f t="shared" si="117"/>
        <v>-609.01302922083244</v>
      </c>
      <c r="O46" s="159">
        <f t="shared" si="118"/>
        <v>-609.01302922083244</v>
      </c>
      <c r="P46" s="159">
        <f t="shared" si="119"/>
        <v>-609.01302922083244</v>
      </c>
      <c r="Q46" s="159">
        <f t="shared" si="120"/>
        <v>-609.01302922083244</v>
      </c>
      <c r="R46" s="159">
        <f t="shared" si="121"/>
        <v>-609.01302922083244</v>
      </c>
      <c r="S46" s="159">
        <f t="shared" si="122"/>
        <v>-609.01302922083244</v>
      </c>
      <c r="T46" s="159">
        <f t="shared" si="123"/>
        <v>-609.01302922083244</v>
      </c>
      <c r="U46" s="159">
        <f t="shared" si="124"/>
        <v>-609.01302922083244</v>
      </c>
      <c r="V46" s="159">
        <f t="shared" si="125"/>
        <v>-609.01302922083244</v>
      </c>
      <c r="W46" s="159">
        <f t="shared" si="126"/>
        <v>-609.01302922083244</v>
      </c>
      <c r="X46" s="159">
        <f t="shared" si="127"/>
        <v>-609.01302922083244</v>
      </c>
    </row>
    <row r="47" spans="1:24" x14ac:dyDescent="0.2">
      <c r="A47" s="155" t="s">
        <v>83</v>
      </c>
      <c r="B47" s="49"/>
      <c r="C47" s="49"/>
      <c r="D47" s="51"/>
      <c r="E47" s="158">
        <f>MAX(0,SUM(E42:E46))</f>
        <v>13623.865343291849</v>
      </c>
      <c r="F47" s="158">
        <f t="shared" ref="F47:V47" si="128">MAX(0,SUM(F42:F46))</f>
        <v>13050.756195629448</v>
      </c>
      <c r="G47" s="158">
        <f t="shared" si="128"/>
        <v>12477.647047967046</v>
      </c>
      <c r="H47" s="158">
        <f t="shared" si="128"/>
        <v>11904.537900304646</v>
      </c>
      <c r="I47" s="158">
        <f t="shared" si="128"/>
        <v>11331.428752642243</v>
      </c>
      <c r="J47" s="158">
        <f t="shared" si="128"/>
        <v>10758.319604979843</v>
      </c>
      <c r="K47" s="158">
        <f t="shared" si="128"/>
        <v>10185.21045731744</v>
      </c>
      <c r="L47" s="158">
        <f t="shared" si="128"/>
        <v>9612.1013096550414</v>
      </c>
      <c r="M47" s="158">
        <f t="shared" si="128"/>
        <v>9038.992161992639</v>
      </c>
      <c r="N47" s="158">
        <f t="shared" si="128"/>
        <v>8465.8830143302403</v>
      </c>
      <c r="O47" s="158">
        <f t="shared" si="128"/>
        <v>7892.7738666678379</v>
      </c>
      <c r="P47" s="158">
        <f t="shared" si="128"/>
        <v>7319.6647190054382</v>
      </c>
      <c r="Q47" s="158">
        <f t="shared" si="128"/>
        <v>6746.5555713430358</v>
      </c>
      <c r="R47" s="158">
        <f t="shared" si="128"/>
        <v>6173.4464236806371</v>
      </c>
      <c r="S47" s="158">
        <f t="shared" si="128"/>
        <v>5600.3372760182347</v>
      </c>
      <c r="T47" s="158">
        <f t="shared" si="128"/>
        <v>5027.2281283558359</v>
      </c>
      <c r="U47" s="158">
        <f t="shared" si="128"/>
        <v>4454.1189806934335</v>
      </c>
      <c r="V47" s="158">
        <f t="shared" si="128"/>
        <v>3881.0098330310348</v>
      </c>
      <c r="W47" s="158">
        <f t="shared" ref="W47:X47" si="129">MAX(0,SUM(W42:W46))</f>
        <v>3307.9006853686324</v>
      </c>
      <c r="X47" s="158">
        <f t="shared" si="129"/>
        <v>2734.7915377062336</v>
      </c>
    </row>
    <row r="48" spans="1:24" x14ac:dyDescent="0.2">
      <c r="A48" s="5" t="s">
        <v>4</v>
      </c>
      <c r="B48" s="5"/>
      <c r="C48" s="5"/>
      <c r="D48" s="50"/>
      <c r="E48" s="50"/>
      <c r="F48" s="50"/>
      <c r="G48" s="50"/>
      <c r="H48" s="50"/>
      <c r="I48" s="50"/>
      <c r="J48" s="50"/>
      <c r="K48" s="50"/>
      <c r="L48" s="50"/>
      <c r="M48" s="50"/>
      <c r="N48" s="50"/>
      <c r="O48" s="50"/>
      <c r="P48" s="50"/>
      <c r="Q48" s="50"/>
      <c r="R48" s="50"/>
      <c r="S48" s="50"/>
      <c r="T48" s="50"/>
      <c r="U48" s="50"/>
      <c r="V48" s="50"/>
      <c r="W48" s="50"/>
      <c r="X48" s="50"/>
    </row>
    <row r="49" spans="1:24" x14ac:dyDescent="0.2">
      <c r="A49" s="83" t="s">
        <v>84</v>
      </c>
      <c r="B49" s="73"/>
      <c r="C49" s="73"/>
      <c r="D49" s="73"/>
      <c r="E49" s="75">
        <f t="shared" ref="E49:V49" si="130">E9</f>
        <v>2020</v>
      </c>
      <c r="F49" s="75">
        <f t="shared" si="130"/>
        <v>2021</v>
      </c>
      <c r="G49" s="75">
        <f t="shared" si="130"/>
        <v>2022</v>
      </c>
      <c r="H49" s="75">
        <f t="shared" si="130"/>
        <v>2023</v>
      </c>
      <c r="I49" s="75">
        <f t="shared" si="130"/>
        <v>2024</v>
      </c>
      <c r="J49" s="75">
        <f t="shared" si="130"/>
        <v>2025</v>
      </c>
      <c r="K49" s="75">
        <f t="shared" si="130"/>
        <v>2026</v>
      </c>
      <c r="L49" s="75">
        <f t="shared" si="130"/>
        <v>2027</v>
      </c>
      <c r="M49" s="75">
        <f t="shared" si="130"/>
        <v>2028</v>
      </c>
      <c r="N49" s="75">
        <f t="shared" si="130"/>
        <v>2029</v>
      </c>
      <c r="O49" s="75">
        <f t="shared" si="130"/>
        <v>2030</v>
      </c>
      <c r="P49" s="75">
        <f t="shared" si="130"/>
        <v>2031</v>
      </c>
      <c r="Q49" s="75">
        <f t="shared" si="130"/>
        <v>2032</v>
      </c>
      <c r="R49" s="75">
        <f t="shared" si="130"/>
        <v>2033</v>
      </c>
      <c r="S49" s="75">
        <f t="shared" si="130"/>
        <v>2034</v>
      </c>
      <c r="T49" s="75">
        <f t="shared" si="130"/>
        <v>2035</v>
      </c>
      <c r="U49" s="75">
        <f t="shared" si="130"/>
        <v>2036</v>
      </c>
      <c r="V49" s="75">
        <f t="shared" si="130"/>
        <v>2037</v>
      </c>
      <c r="W49" s="75">
        <f t="shared" ref="W49:X49" si="131">W9</f>
        <v>2038</v>
      </c>
      <c r="X49" s="75">
        <f t="shared" si="131"/>
        <v>2039</v>
      </c>
    </row>
    <row r="50" spans="1:24" x14ac:dyDescent="0.2">
      <c r="A50" s="45" t="s">
        <v>86</v>
      </c>
      <c r="B50" s="51"/>
      <c r="C50" s="51"/>
      <c r="D50" s="51"/>
      <c r="E50" s="158">
        <f t="shared" ref="E50" si="132">E25</f>
        <v>428.47056504652869</v>
      </c>
      <c r="F50" s="158">
        <f>F25</f>
        <v>410.44628235254618</v>
      </c>
      <c r="G50" s="158">
        <f t="shared" ref="G50:V50" si="133">G25</f>
        <v>392.42199965856366</v>
      </c>
      <c r="H50" s="158">
        <f t="shared" si="133"/>
        <v>374.39771696458115</v>
      </c>
      <c r="I50" s="158">
        <f t="shared" si="133"/>
        <v>356.37343427059852</v>
      </c>
      <c r="J50" s="158">
        <f t="shared" si="133"/>
        <v>338.34915157661607</v>
      </c>
      <c r="K50" s="158">
        <f t="shared" si="133"/>
        <v>320.32486888263355</v>
      </c>
      <c r="L50" s="158">
        <f t="shared" si="133"/>
        <v>302.3005861886511</v>
      </c>
      <c r="M50" s="158">
        <f t="shared" si="133"/>
        <v>284.27630349466853</v>
      </c>
      <c r="N50" s="158">
        <f t="shared" si="133"/>
        <v>266.25202080068607</v>
      </c>
      <c r="O50" s="158">
        <f t="shared" si="133"/>
        <v>248.22773810670353</v>
      </c>
      <c r="P50" s="158">
        <f t="shared" si="133"/>
        <v>230.20345541272104</v>
      </c>
      <c r="Q50" s="158">
        <f t="shared" si="133"/>
        <v>212.1791727187385</v>
      </c>
      <c r="R50" s="158">
        <f t="shared" si="133"/>
        <v>194.15489002475604</v>
      </c>
      <c r="S50" s="158">
        <f t="shared" si="133"/>
        <v>176.1306073307735</v>
      </c>
      <c r="T50" s="158">
        <f t="shared" si="133"/>
        <v>158.10632463679104</v>
      </c>
      <c r="U50" s="158">
        <f t="shared" si="133"/>
        <v>140.0820419428085</v>
      </c>
      <c r="V50" s="158">
        <f t="shared" si="133"/>
        <v>122.05775924882604</v>
      </c>
      <c r="W50" s="158">
        <f t="shared" ref="W50:X50" si="134">W25</f>
        <v>104.03347655484349</v>
      </c>
      <c r="X50" s="158">
        <f t="shared" si="134"/>
        <v>86.009193860861046</v>
      </c>
    </row>
    <row r="51" spans="1:24" x14ac:dyDescent="0.2">
      <c r="A51" s="45" t="s">
        <v>5</v>
      </c>
      <c r="B51" s="51"/>
      <c r="C51" s="51"/>
      <c r="D51" s="51"/>
      <c r="E51" s="158">
        <f t="shared" ref="E51" si="135">E50/(1-E12)</f>
        <v>586.94597951579271</v>
      </c>
      <c r="F51" s="158">
        <f t="shared" ref="F51:V51" si="136">F50/(1-F12)</f>
        <v>562.25518130485784</v>
      </c>
      <c r="G51" s="158">
        <f t="shared" si="136"/>
        <v>537.56438309392286</v>
      </c>
      <c r="H51" s="158">
        <f t="shared" si="136"/>
        <v>512.87358488298787</v>
      </c>
      <c r="I51" s="158">
        <f t="shared" si="136"/>
        <v>488.18278667205277</v>
      </c>
      <c r="J51" s="158">
        <f t="shared" si="136"/>
        <v>463.4919884611179</v>
      </c>
      <c r="K51" s="158">
        <f t="shared" si="136"/>
        <v>438.80119025018297</v>
      </c>
      <c r="L51" s="158">
        <f t="shared" si="136"/>
        <v>414.1103920392481</v>
      </c>
      <c r="M51" s="158">
        <f t="shared" si="136"/>
        <v>389.41959382831305</v>
      </c>
      <c r="N51" s="158">
        <f t="shared" si="136"/>
        <v>364.72879561737818</v>
      </c>
      <c r="O51" s="158">
        <f t="shared" si="136"/>
        <v>340.0379974064432</v>
      </c>
      <c r="P51" s="158">
        <f t="shared" si="136"/>
        <v>315.34719919550827</v>
      </c>
      <c r="Q51" s="158">
        <f t="shared" si="136"/>
        <v>290.65640098457328</v>
      </c>
      <c r="R51" s="158">
        <f t="shared" si="136"/>
        <v>265.96560277363841</v>
      </c>
      <c r="S51" s="158">
        <f t="shared" si="136"/>
        <v>241.27480456270342</v>
      </c>
      <c r="T51" s="158">
        <f t="shared" si="136"/>
        <v>216.58400635176855</v>
      </c>
      <c r="U51" s="158">
        <f t="shared" si="136"/>
        <v>191.89320814083356</v>
      </c>
      <c r="V51" s="158">
        <f t="shared" si="136"/>
        <v>167.20240992989869</v>
      </c>
      <c r="W51" s="158">
        <f t="shared" ref="W51:X51" si="137">W50/(1-W12)</f>
        <v>142.51161171896368</v>
      </c>
      <c r="X51" s="158">
        <f t="shared" si="137"/>
        <v>117.82081350802883</v>
      </c>
    </row>
    <row r="52" spans="1:24" x14ac:dyDescent="0.2">
      <c r="A52" s="45" t="s">
        <v>6</v>
      </c>
      <c r="B52" s="51"/>
      <c r="C52" s="51"/>
      <c r="D52" s="51"/>
      <c r="E52" s="158">
        <f>E23</f>
        <v>39.946040571592462</v>
      </c>
      <c r="F52" s="158">
        <f t="shared" ref="F52:X52" si="138">F23</f>
        <v>39.946040571592462</v>
      </c>
      <c r="G52" s="158">
        <f t="shared" si="138"/>
        <v>39.946040571592462</v>
      </c>
      <c r="H52" s="158">
        <f t="shared" si="138"/>
        <v>39.946040571592462</v>
      </c>
      <c r="I52" s="158">
        <f t="shared" si="138"/>
        <v>39.946040571592462</v>
      </c>
      <c r="J52" s="158">
        <f t="shared" si="138"/>
        <v>39.946040571592462</v>
      </c>
      <c r="K52" s="158">
        <f t="shared" si="138"/>
        <v>39.946040571592462</v>
      </c>
      <c r="L52" s="158">
        <f t="shared" si="138"/>
        <v>39.946040571592462</v>
      </c>
      <c r="M52" s="158">
        <f t="shared" si="138"/>
        <v>39.946040571592462</v>
      </c>
      <c r="N52" s="158">
        <f t="shared" si="138"/>
        <v>39.946040571592462</v>
      </c>
      <c r="O52" s="158">
        <f t="shared" si="138"/>
        <v>39.946040571592462</v>
      </c>
      <c r="P52" s="158">
        <f t="shared" si="138"/>
        <v>39.946040571592462</v>
      </c>
      <c r="Q52" s="158">
        <f t="shared" si="138"/>
        <v>39.946040571592462</v>
      </c>
      <c r="R52" s="158">
        <f t="shared" si="138"/>
        <v>39.946040571592462</v>
      </c>
      <c r="S52" s="158">
        <f t="shared" si="138"/>
        <v>39.946040571592462</v>
      </c>
      <c r="T52" s="158">
        <f t="shared" si="138"/>
        <v>39.946040571592462</v>
      </c>
      <c r="U52" s="158">
        <f t="shared" si="138"/>
        <v>39.946040571592462</v>
      </c>
      <c r="V52" s="158">
        <f t="shared" si="138"/>
        <v>39.946040571592462</v>
      </c>
      <c r="W52" s="158">
        <f t="shared" si="138"/>
        <v>39.946040571592462</v>
      </c>
      <c r="X52" s="158">
        <f t="shared" si="138"/>
        <v>39.946040571592462</v>
      </c>
    </row>
    <row r="53" spans="1:24" x14ac:dyDescent="0.2">
      <c r="A53" s="31"/>
      <c r="B53" s="31"/>
      <c r="C53" s="154"/>
      <c r="D53" s="31"/>
      <c r="E53" s="152"/>
      <c r="F53" s="152"/>
      <c r="G53" s="152"/>
      <c r="H53" s="152"/>
      <c r="I53" s="152"/>
      <c r="J53" s="152"/>
      <c r="K53" s="152"/>
      <c r="L53" s="152"/>
      <c r="M53" s="152"/>
      <c r="N53" s="152"/>
      <c r="O53" s="152"/>
      <c r="P53" s="152"/>
      <c r="Q53" s="152"/>
      <c r="R53" s="152"/>
      <c r="S53" s="152"/>
      <c r="T53" s="152"/>
    </row>
    <row r="55" spans="1:24" x14ac:dyDescent="0.2">
      <c r="D55" s="283"/>
    </row>
    <row r="56" spans="1:24" x14ac:dyDescent="0.2">
      <c r="D56" s="5"/>
    </row>
    <row r="57" spans="1:24" x14ac:dyDescent="0.2">
      <c r="D57" s="184"/>
    </row>
    <row r="58" spans="1:24" x14ac:dyDescent="0.2">
      <c r="D58" s="184"/>
    </row>
    <row r="59" spans="1:24" x14ac:dyDescent="0.2">
      <c r="D59" s="184"/>
    </row>
    <row r="60" spans="1:24" x14ac:dyDescent="0.2">
      <c r="D60" s="184"/>
    </row>
    <row r="61" spans="1:24" x14ac:dyDescent="0.2">
      <c r="D61" s="184"/>
    </row>
    <row r="62" spans="1:24" x14ac:dyDescent="0.2">
      <c r="D62" s="182"/>
    </row>
  </sheetData>
  <pageMargins left="0.5" right="0.5" top="0.75" bottom="0.75" header="0.5" footer="0.25"/>
  <pageSetup paperSize="17" scale="8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41" id="{FFEAF16B-DF65-4FA4-8821-F4A41390AFCE}">
            <xm:f>LTP20RevReq!#REF!&lt;&gt;"CWIPinRB"</xm:f>
            <x14:dxf>
              <fill>
                <patternFill patternType="lightUp">
                  <fgColor theme="0" tint="-0.499984740745262"/>
                </patternFill>
              </fill>
            </x14:dxf>
          </x14:cfRule>
          <xm:sqref>A53:T53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
  <sheetViews>
    <sheetView showGridLines="0" zoomScaleNormal="100" workbookViewId="0">
      <selection activeCell="E26" sqref="E26"/>
    </sheetView>
  </sheetViews>
  <sheetFormatPr defaultColWidth="10.7109375" defaultRowHeight="12.75" x14ac:dyDescent="0.2"/>
  <cols>
    <col min="1" max="4" width="10.7109375" style="25"/>
    <col min="5" max="17" width="10.7109375" style="25" bestFit="1" customWidth="1"/>
    <col min="18" max="20" width="11.28515625" style="25" bestFit="1" customWidth="1"/>
    <col min="21" max="16384" width="10.7109375" style="25"/>
  </cols>
  <sheetData>
    <row r="1" spans="1:24" x14ac:dyDescent="0.2">
      <c r="A1" s="24" t="str">
        <f>Assumptions!A1</f>
        <v>Alberta Electric System Operator</v>
      </c>
      <c r="B1" s="24"/>
    </row>
    <row r="2" spans="1:24" x14ac:dyDescent="0.2">
      <c r="A2" s="24" t="str">
        <f>Assumptions!A2</f>
        <v>Preliminary rates and bill projections</v>
      </c>
      <c r="B2" s="24"/>
    </row>
    <row r="3" spans="1:24" x14ac:dyDescent="0.2">
      <c r="A3" s="24" t="str">
        <f>Assumptions!A3</f>
        <v>For discussion purposes</v>
      </c>
      <c r="B3" s="24"/>
    </row>
    <row r="4" spans="1:24" x14ac:dyDescent="0.2">
      <c r="A4" s="24" t="str">
        <f>Assumptions!A4</f>
        <v>Version 1.0-Conceptual dated March 12, 2020</v>
      </c>
      <c r="B4" s="24"/>
    </row>
    <row r="5" spans="1:24" x14ac:dyDescent="0.2">
      <c r="A5" s="24" t="s">
        <v>296</v>
      </c>
      <c r="B5" s="24"/>
    </row>
    <row r="6" spans="1:24" x14ac:dyDescent="0.2">
      <c r="A6" s="24"/>
      <c r="B6" s="24"/>
    </row>
    <row r="7" spans="1:24" s="163" customFormat="1" x14ac:dyDescent="0.2">
      <c r="A7" s="6" t="s">
        <v>16</v>
      </c>
      <c r="B7" s="160"/>
      <c r="C7" s="160"/>
      <c r="D7" s="160"/>
      <c r="E7" s="161"/>
      <c r="F7" s="161"/>
      <c r="G7" s="161"/>
      <c r="H7" s="161"/>
      <c r="I7" s="161"/>
      <c r="J7" s="162"/>
      <c r="K7" s="162"/>
      <c r="L7" s="162"/>
      <c r="M7" s="162"/>
      <c r="N7" s="162"/>
      <c r="O7" s="162"/>
      <c r="P7" s="162"/>
      <c r="Q7" s="162"/>
      <c r="R7" s="162"/>
      <c r="S7" s="162"/>
      <c r="T7" s="162"/>
      <c r="U7" s="162"/>
      <c r="V7" s="162"/>
      <c r="W7" s="162"/>
      <c r="X7" s="162"/>
    </row>
    <row r="8" spans="1:24" x14ac:dyDescent="0.2">
      <c r="A8" s="24"/>
      <c r="B8" s="24"/>
    </row>
    <row r="9" spans="1:24" x14ac:dyDescent="0.2">
      <c r="A9" s="83" t="s">
        <v>16</v>
      </c>
      <c r="B9" s="83"/>
      <c r="C9" s="83"/>
      <c r="D9" s="83"/>
      <c r="E9" s="83">
        <v>2020</v>
      </c>
      <c r="F9" s="83">
        <f t="shared" ref="F9" si="0">E9+1</f>
        <v>2021</v>
      </c>
      <c r="G9" s="83">
        <f t="shared" ref="G9" si="1">F9+1</f>
        <v>2022</v>
      </c>
      <c r="H9" s="83">
        <f t="shared" ref="H9" si="2">G9+1</f>
        <v>2023</v>
      </c>
      <c r="I9" s="83">
        <f t="shared" ref="I9" si="3">H9+1</f>
        <v>2024</v>
      </c>
      <c r="J9" s="83">
        <f t="shared" ref="J9" si="4">I9+1</f>
        <v>2025</v>
      </c>
      <c r="K9" s="83">
        <f t="shared" ref="K9" si="5">J9+1</f>
        <v>2026</v>
      </c>
      <c r="L9" s="83">
        <f t="shared" ref="L9" si="6">K9+1</f>
        <v>2027</v>
      </c>
      <c r="M9" s="83">
        <f t="shared" ref="M9" si="7">L9+1</f>
        <v>2028</v>
      </c>
      <c r="N9" s="83">
        <f t="shared" ref="N9" si="8">M9+1</f>
        <v>2029</v>
      </c>
      <c r="O9" s="83">
        <f t="shared" ref="O9" si="9">N9+1</f>
        <v>2030</v>
      </c>
      <c r="P9" s="83">
        <f t="shared" ref="P9" si="10">O9+1</f>
        <v>2031</v>
      </c>
      <c r="Q9" s="83">
        <f t="shared" ref="Q9" si="11">P9+1</f>
        <v>2032</v>
      </c>
      <c r="R9" s="83">
        <f t="shared" ref="R9" si="12">Q9+1</f>
        <v>2033</v>
      </c>
      <c r="S9" s="83">
        <f t="shared" ref="S9" si="13">R9+1</f>
        <v>2034</v>
      </c>
      <c r="T9" s="83">
        <f t="shared" ref="T9" si="14">S9+1</f>
        <v>2035</v>
      </c>
      <c r="U9" s="83">
        <f t="shared" ref="U9" si="15">T9+1</f>
        <v>2036</v>
      </c>
      <c r="V9" s="83">
        <f t="shared" ref="V9" si="16">U9+1</f>
        <v>2037</v>
      </c>
      <c r="W9" s="83">
        <f t="shared" ref="W9" si="17">V9+1</f>
        <v>2038</v>
      </c>
      <c r="X9" s="83">
        <f t="shared" ref="X9" si="18">W9+1</f>
        <v>2039</v>
      </c>
    </row>
    <row r="10" spans="1:24" x14ac:dyDescent="0.2">
      <c r="A10" s="33" t="str">
        <f>Assumptions!A20</f>
        <v>Operating Expense Factor (%)</v>
      </c>
      <c r="B10" s="33"/>
      <c r="C10" s="33"/>
      <c r="D10" s="33"/>
      <c r="E10" s="34">
        <f>Assumptions!E20</f>
        <v>1.04E-2</v>
      </c>
      <c r="F10" s="34">
        <f>Assumptions!F20</f>
        <v>1.04E-2</v>
      </c>
      <c r="G10" s="34">
        <f>Assumptions!G20</f>
        <v>1.04E-2</v>
      </c>
      <c r="H10" s="34">
        <f>Assumptions!H20</f>
        <v>1.04E-2</v>
      </c>
      <c r="I10" s="34">
        <f>Assumptions!I20</f>
        <v>1.04E-2</v>
      </c>
      <c r="J10" s="34">
        <f>Assumptions!J20</f>
        <v>1.04E-2</v>
      </c>
      <c r="K10" s="34">
        <f>Assumptions!K20</f>
        <v>1.04E-2</v>
      </c>
      <c r="L10" s="34">
        <f>Assumptions!L20</f>
        <v>1.04E-2</v>
      </c>
      <c r="M10" s="34">
        <f>Assumptions!M20</f>
        <v>1.04E-2</v>
      </c>
      <c r="N10" s="34">
        <f>Assumptions!N20</f>
        <v>1.04E-2</v>
      </c>
      <c r="O10" s="34">
        <f>Assumptions!O20</f>
        <v>1.04E-2</v>
      </c>
      <c r="P10" s="34">
        <f>Assumptions!P20</f>
        <v>1.04E-2</v>
      </c>
      <c r="Q10" s="34">
        <f>Assumptions!Q20</f>
        <v>1.04E-2</v>
      </c>
      <c r="R10" s="34">
        <f>Assumptions!R20</f>
        <v>1.04E-2</v>
      </c>
      <c r="S10" s="34">
        <f>Assumptions!S20</f>
        <v>1.04E-2</v>
      </c>
      <c r="T10" s="34">
        <f>Assumptions!T20</f>
        <v>1.04E-2</v>
      </c>
      <c r="U10" s="34">
        <f>Assumptions!U20</f>
        <v>1.04E-2</v>
      </c>
      <c r="V10" s="34">
        <f>Assumptions!V20</f>
        <v>1.04E-2</v>
      </c>
      <c r="W10" s="34">
        <f>Assumptions!W20</f>
        <v>1.04E-2</v>
      </c>
      <c r="X10" s="34">
        <f>Assumptions!X20</f>
        <v>1.04E-2</v>
      </c>
    </row>
    <row r="11" spans="1:24" x14ac:dyDescent="0.2">
      <c r="A11" s="33" t="str">
        <f>Assumptions!A18</f>
        <v>Depreciation Rate - Transmission Plant (%)</v>
      </c>
      <c r="B11" s="33"/>
      <c r="C11" s="33"/>
      <c r="D11" s="33"/>
      <c r="E11" s="36">
        <f>Assumptions!E18</f>
        <v>3.0496357076080473E-2</v>
      </c>
      <c r="F11" s="36">
        <f>Assumptions!F18</f>
        <v>3.0496357076080473E-2</v>
      </c>
      <c r="G11" s="36">
        <f>Assumptions!G18</f>
        <v>3.0496357076080473E-2</v>
      </c>
      <c r="H11" s="36">
        <f>Assumptions!H18</f>
        <v>3.0496357076080473E-2</v>
      </c>
      <c r="I11" s="36">
        <f>Assumptions!I18</f>
        <v>3.0496357076080473E-2</v>
      </c>
      <c r="J11" s="36">
        <f>Assumptions!J18</f>
        <v>3.0496357076080473E-2</v>
      </c>
      <c r="K11" s="36">
        <f>Assumptions!K18</f>
        <v>3.0496357076080473E-2</v>
      </c>
      <c r="L11" s="36">
        <f>Assumptions!L18</f>
        <v>3.0496357076080473E-2</v>
      </c>
      <c r="M11" s="36">
        <f>Assumptions!M18</f>
        <v>3.0496357076080473E-2</v>
      </c>
      <c r="N11" s="36">
        <f>Assumptions!N18</f>
        <v>3.0496357076080473E-2</v>
      </c>
      <c r="O11" s="36">
        <f>Assumptions!O18</f>
        <v>3.0496357076080473E-2</v>
      </c>
      <c r="P11" s="36">
        <f>Assumptions!P18</f>
        <v>3.0496357076080473E-2</v>
      </c>
      <c r="Q11" s="36">
        <f>Assumptions!Q18</f>
        <v>3.0496357076080473E-2</v>
      </c>
      <c r="R11" s="36">
        <f>Assumptions!R18</f>
        <v>3.0496357076080473E-2</v>
      </c>
      <c r="S11" s="36">
        <f>Assumptions!S18</f>
        <v>3.0496357076080473E-2</v>
      </c>
      <c r="T11" s="36">
        <f>Assumptions!T18</f>
        <v>3.0496357076080473E-2</v>
      </c>
      <c r="U11" s="36">
        <f>Assumptions!U18</f>
        <v>3.0496357076080473E-2</v>
      </c>
      <c r="V11" s="36">
        <f>Assumptions!V18</f>
        <v>3.0496357076080473E-2</v>
      </c>
      <c r="W11" s="36">
        <f>Assumptions!W18</f>
        <v>3.0496357076080473E-2</v>
      </c>
      <c r="X11" s="36">
        <f>Assumptions!X18</f>
        <v>3.0496357076080473E-2</v>
      </c>
    </row>
    <row r="12" spans="1:24" x14ac:dyDescent="0.2">
      <c r="A12" s="33" t="s">
        <v>25</v>
      </c>
      <c r="B12" s="33"/>
      <c r="C12" s="33"/>
      <c r="D12" s="33"/>
      <c r="E12" s="36">
        <f>Assumptions!E17</f>
        <v>0.27</v>
      </c>
      <c r="F12" s="36">
        <f>Assumptions!F17</f>
        <v>0.27</v>
      </c>
      <c r="G12" s="36">
        <f>Assumptions!G17</f>
        <v>0.27</v>
      </c>
      <c r="H12" s="36">
        <f>Assumptions!H17</f>
        <v>0.27</v>
      </c>
      <c r="I12" s="36">
        <f>Assumptions!I17</f>
        <v>0.27</v>
      </c>
      <c r="J12" s="36">
        <f>Assumptions!J17</f>
        <v>0.27</v>
      </c>
      <c r="K12" s="36">
        <f>Assumptions!K17</f>
        <v>0.27</v>
      </c>
      <c r="L12" s="36">
        <f>Assumptions!L17</f>
        <v>0.27</v>
      </c>
      <c r="M12" s="36">
        <f>Assumptions!M17</f>
        <v>0.27</v>
      </c>
      <c r="N12" s="36">
        <f>Assumptions!N17</f>
        <v>0.27</v>
      </c>
      <c r="O12" s="36">
        <f>Assumptions!O17</f>
        <v>0.27</v>
      </c>
      <c r="P12" s="36">
        <f>Assumptions!P17</f>
        <v>0.27</v>
      </c>
      <c r="Q12" s="36">
        <f>Assumptions!Q17</f>
        <v>0.27</v>
      </c>
      <c r="R12" s="36">
        <f>Assumptions!R17</f>
        <v>0.27</v>
      </c>
      <c r="S12" s="36">
        <f>Assumptions!S17</f>
        <v>0.27</v>
      </c>
      <c r="T12" s="36">
        <f>Assumptions!T17</f>
        <v>0.27</v>
      </c>
      <c r="U12" s="36">
        <f>Assumptions!U17</f>
        <v>0.27</v>
      </c>
      <c r="V12" s="36">
        <f>Assumptions!V17</f>
        <v>0.27</v>
      </c>
      <c r="W12" s="36">
        <f>Assumptions!W17</f>
        <v>0.27</v>
      </c>
      <c r="X12" s="36">
        <f>Assumptions!X17</f>
        <v>0.27</v>
      </c>
    </row>
    <row r="13" spans="1:24" x14ac:dyDescent="0.2">
      <c r="A13" s="33" t="str">
        <f>Assumptions!A12</f>
        <v>Equity Ratio (%)</v>
      </c>
      <c r="B13" s="33"/>
      <c r="C13" s="33"/>
      <c r="D13" s="33"/>
      <c r="E13" s="35">
        <f>Assumptions!E12</f>
        <v>0.37</v>
      </c>
      <c r="F13" s="35">
        <f>Assumptions!F12</f>
        <v>0.37</v>
      </c>
      <c r="G13" s="35">
        <f>Assumptions!G12</f>
        <v>0.37</v>
      </c>
      <c r="H13" s="35">
        <f>Assumptions!H12</f>
        <v>0.37</v>
      </c>
      <c r="I13" s="35">
        <f>Assumptions!I12</f>
        <v>0.37</v>
      </c>
      <c r="J13" s="35">
        <f>Assumptions!J12</f>
        <v>0.37</v>
      </c>
      <c r="K13" s="35">
        <f>Assumptions!K12</f>
        <v>0.37</v>
      </c>
      <c r="L13" s="35">
        <f>Assumptions!L12</f>
        <v>0.37</v>
      </c>
      <c r="M13" s="35">
        <f>Assumptions!M12</f>
        <v>0.37</v>
      </c>
      <c r="N13" s="35">
        <f>Assumptions!N12</f>
        <v>0.37</v>
      </c>
      <c r="O13" s="35">
        <f>Assumptions!O12</f>
        <v>0.37</v>
      </c>
      <c r="P13" s="35">
        <f>Assumptions!P12</f>
        <v>0.37</v>
      </c>
      <c r="Q13" s="35">
        <f>Assumptions!Q12</f>
        <v>0.37</v>
      </c>
      <c r="R13" s="35">
        <f>Assumptions!R12</f>
        <v>0.37</v>
      </c>
      <c r="S13" s="35">
        <f>Assumptions!S12</f>
        <v>0.37</v>
      </c>
      <c r="T13" s="35">
        <f>Assumptions!T12</f>
        <v>0.37</v>
      </c>
      <c r="U13" s="35">
        <f>Assumptions!U12</f>
        <v>0.37</v>
      </c>
      <c r="V13" s="35">
        <f>Assumptions!V12</f>
        <v>0.37</v>
      </c>
      <c r="W13" s="35">
        <f>Assumptions!W12</f>
        <v>0.37</v>
      </c>
      <c r="X13" s="35">
        <f>Assumptions!X12</f>
        <v>0.37</v>
      </c>
    </row>
    <row r="14" spans="1:24" x14ac:dyDescent="0.2">
      <c r="A14" s="33" t="str">
        <f>Assumptions!A13</f>
        <v>Cost of Debt (%)</v>
      </c>
      <c r="B14" s="33"/>
      <c r="C14" s="33"/>
      <c r="D14" s="33"/>
      <c r="E14" s="36">
        <f>Assumptions!E13</f>
        <v>4.3978969804294152E-2</v>
      </c>
      <c r="F14" s="36">
        <f>Assumptions!F13</f>
        <v>4.3978969804294152E-2</v>
      </c>
      <c r="G14" s="36">
        <f>Assumptions!G13</f>
        <v>4.3978969804294152E-2</v>
      </c>
      <c r="H14" s="36">
        <f>Assumptions!H13</f>
        <v>4.3978969804294152E-2</v>
      </c>
      <c r="I14" s="36">
        <f>Assumptions!I13</f>
        <v>4.3978969804294152E-2</v>
      </c>
      <c r="J14" s="36">
        <f>Assumptions!J13</f>
        <v>4.3978969804294152E-2</v>
      </c>
      <c r="K14" s="36">
        <f>Assumptions!K13</f>
        <v>4.3978969804294152E-2</v>
      </c>
      <c r="L14" s="36">
        <f>Assumptions!L13</f>
        <v>4.3978969804294152E-2</v>
      </c>
      <c r="M14" s="36">
        <f>Assumptions!M13</f>
        <v>4.3978969804294152E-2</v>
      </c>
      <c r="N14" s="36">
        <f>Assumptions!N13</f>
        <v>4.3978969804294152E-2</v>
      </c>
      <c r="O14" s="36">
        <f>Assumptions!O13</f>
        <v>4.3978969804294152E-2</v>
      </c>
      <c r="P14" s="36">
        <f>Assumptions!P13</f>
        <v>4.3978969804294152E-2</v>
      </c>
      <c r="Q14" s="36">
        <f>Assumptions!Q13</f>
        <v>4.3978969804294152E-2</v>
      </c>
      <c r="R14" s="36">
        <f>Assumptions!R13</f>
        <v>4.3978969804294152E-2</v>
      </c>
      <c r="S14" s="36">
        <f>Assumptions!S13</f>
        <v>4.3978969804294152E-2</v>
      </c>
      <c r="T14" s="36">
        <f>Assumptions!T13</f>
        <v>4.3978969804294152E-2</v>
      </c>
      <c r="U14" s="36">
        <f>Assumptions!U13</f>
        <v>4.3978969804294152E-2</v>
      </c>
      <c r="V14" s="36">
        <f>Assumptions!V13</f>
        <v>4.3978969804294152E-2</v>
      </c>
      <c r="W14" s="36">
        <f>Assumptions!W13</f>
        <v>4.3978969804294152E-2</v>
      </c>
      <c r="X14" s="36">
        <f>Assumptions!X13</f>
        <v>4.3978969804294152E-2</v>
      </c>
    </row>
    <row r="15" spans="1:24" x14ac:dyDescent="0.2">
      <c r="A15" s="33" t="str">
        <f>Assumptions!A11</f>
        <v>After-Tax Return on Equity (%)</v>
      </c>
      <c r="B15" s="33"/>
      <c r="C15" s="33"/>
      <c r="D15" s="33"/>
      <c r="E15" s="34">
        <f>Assumptions!E11</f>
        <v>8.5000000000000006E-2</v>
      </c>
      <c r="F15" s="34">
        <f>Assumptions!F11</f>
        <v>8.5000000000000006E-2</v>
      </c>
      <c r="G15" s="34">
        <f>Assumptions!G11</f>
        <v>8.5000000000000006E-2</v>
      </c>
      <c r="H15" s="34">
        <f>Assumptions!H11</f>
        <v>8.5000000000000006E-2</v>
      </c>
      <c r="I15" s="34">
        <f>Assumptions!I11</f>
        <v>8.5000000000000006E-2</v>
      </c>
      <c r="J15" s="34">
        <f>Assumptions!J11</f>
        <v>8.5000000000000006E-2</v>
      </c>
      <c r="K15" s="34">
        <f>Assumptions!K11</f>
        <v>8.5000000000000006E-2</v>
      </c>
      <c r="L15" s="34">
        <f>Assumptions!L11</f>
        <v>8.5000000000000006E-2</v>
      </c>
      <c r="M15" s="34">
        <f>Assumptions!M11</f>
        <v>8.5000000000000006E-2</v>
      </c>
      <c r="N15" s="34">
        <f>Assumptions!N11</f>
        <v>8.5000000000000006E-2</v>
      </c>
      <c r="O15" s="34">
        <f>Assumptions!O11</f>
        <v>8.5000000000000006E-2</v>
      </c>
      <c r="P15" s="34">
        <f>Assumptions!P11</f>
        <v>8.5000000000000006E-2</v>
      </c>
      <c r="Q15" s="34">
        <f>Assumptions!Q11</f>
        <v>8.5000000000000006E-2</v>
      </c>
      <c r="R15" s="34">
        <f>Assumptions!R11</f>
        <v>8.5000000000000006E-2</v>
      </c>
      <c r="S15" s="34">
        <f>Assumptions!S11</f>
        <v>8.5000000000000006E-2</v>
      </c>
      <c r="T15" s="34">
        <f>Assumptions!T11</f>
        <v>8.5000000000000006E-2</v>
      </c>
      <c r="U15" s="34">
        <f>Assumptions!U11</f>
        <v>8.5000000000000006E-2</v>
      </c>
      <c r="V15" s="34">
        <f>Assumptions!V11</f>
        <v>8.5000000000000006E-2</v>
      </c>
      <c r="W15" s="34">
        <f>Assumptions!W11</f>
        <v>8.5000000000000006E-2</v>
      </c>
      <c r="X15" s="34">
        <f>Assumptions!X11</f>
        <v>8.5000000000000006E-2</v>
      </c>
    </row>
    <row r="16" spans="1:24" x14ac:dyDescent="0.2">
      <c r="A16" s="33" t="s">
        <v>72</v>
      </c>
      <c r="B16" s="33"/>
      <c r="C16" s="33"/>
      <c r="D16" s="33"/>
      <c r="E16" s="34">
        <f>Assumptions!E14</f>
        <v>5.8026540674748259E-2</v>
      </c>
      <c r="F16" s="34">
        <f>Assumptions!F14</f>
        <v>5.8026540674748259E-2</v>
      </c>
      <c r="G16" s="34">
        <f>Assumptions!G14</f>
        <v>5.8026540674748259E-2</v>
      </c>
      <c r="H16" s="34">
        <f>Assumptions!H14</f>
        <v>5.8026540674748259E-2</v>
      </c>
      <c r="I16" s="34">
        <f>Assumptions!I14</f>
        <v>5.8026540674748259E-2</v>
      </c>
      <c r="J16" s="34">
        <f>Assumptions!J14</f>
        <v>5.8026540674748259E-2</v>
      </c>
      <c r="K16" s="34">
        <f>Assumptions!K14</f>
        <v>5.8026540674748259E-2</v>
      </c>
      <c r="L16" s="34">
        <f>Assumptions!L14</f>
        <v>5.8026540674748259E-2</v>
      </c>
      <c r="M16" s="34">
        <f>Assumptions!M14</f>
        <v>5.8026540674748259E-2</v>
      </c>
      <c r="N16" s="34">
        <f>Assumptions!N14</f>
        <v>5.8026540674748259E-2</v>
      </c>
      <c r="O16" s="34">
        <f>Assumptions!O14</f>
        <v>5.8026540674748259E-2</v>
      </c>
      <c r="P16" s="34">
        <f>Assumptions!P14</f>
        <v>5.8026540674748259E-2</v>
      </c>
      <c r="Q16" s="34">
        <f>Assumptions!Q14</f>
        <v>5.8026540674748259E-2</v>
      </c>
      <c r="R16" s="34">
        <f>Assumptions!R14</f>
        <v>5.8026540674748259E-2</v>
      </c>
      <c r="S16" s="34">
        <f>Assumptions!S14</f>
        <v>5.8026540674748259E-2</v>
      </c>
      <c r="T16" s="34">
        <f>Assumptions!T14</f>
        <v>5.8026540674748259E-2</v>
      </c>
      <c r="U16" s="34">
        <f>Assumptions!U14</f>
        <v>5.8026540674748259E-2</v>
      </c>
      <c r="V16" s="34">
        <f>Assumptions!V14</f>
        <v>5.8026540674748259E-2</v>
      </c>
      <c r="W16" s="34">
        <f>Assumptions!W14</f>
        <v>5.8026540674748259E-2</v>
      </c>
      <c r="X16" s="34">
        <f>Assumptions!X14</f>
        <v>5.8026540674748259E-2</v>
      </c>
    </row>
    <row r="18" spans="1:24" s="163" customFormat="1" x14ac:dyDescent="0.2">
      <c r="A18" s="6" t="s">
        <v>205</v>
      </c>
      <c r="B18" s="160"/>
      <c r="C18" s="160"/>
      <c r="D18" s="160"/>
      <c r="E18" s="161"/>
      <c r="F18" s="161"/>
      <c r="G18" s="161"/>
      <c r="H18" s="161"/>
      <c r="I18" s="161"/>
      <c r="J18" s="161"/>
      <c r="K18" s="161"/>
      <c r="L18" s="161"/>
      <c r="M18" s="161"/>
      <c r="N18" s="161"/>
      <c r="O18" s="161"/>
      <c r="P18" s="161"/>
      <c r="Q18" s="161"/>
      <c r="R18" s="161"/>
      <c r="S18" s="161"/>
      <c r="T18" s="161"/>
      <c r="U18" s="161"/>
      <c r="V18" s="161"/>
      <c r="W18" s="161"/>
      <c r="X18" s="161"/>
    </row>
    <row r="19" spans="1:24" s="28" customFormat="1" x14ac:dyDescent="0.2">
      <c r="A19" s="65"/>
      <c r="B19" s="66"/>
      <c r="C19" s="66"/>
      <c r="D19" s="66"/>
      <c r="E19" s="67"/>
      <c r="F19" s="67"/>
      <c r="G19" s="67"/>
      <c r="H19" s="67"/>
      <c r="I19" s="67"/>
      <c r="J19" s="67"/>
      <c r="K19" s="67"/>
      <c r="L19" s="67"/>
      <c r="M19" s="67"/>
      <c r="N19" s="67"/>
      <c r="O19" s="67"/>
      <c r="P19" s="67"/>
      <c r="Q19" s="67"/>
      <c r="R19" s="67"/>
      <c r="S19" s="67"/>
      <c r="T19" s="67"/>
      <c r="U19" s="67"/>
      <c r="V19" s="67"/>
      <c r="W19" s="67"/>
      <c r="X19" s="67"/>
    </row>
    <row r="20" spans="1:24" s="31" customFormat="1" x14ac:dyDescent="0.2">
      <c r="A20" s="83" t="s">
        <v>137</v>
      </c>
      <c r="B20" s="83"/>
      <c r="C20" s="83"/>
      <c r="D20" s="83"/>
      <c r="E20" s="83">
        <f t="shared" ref="E20:V20" si="19">E9</f>
        <v>2020</v>
      </c>
      <c r="F20" s="83">
        <f t="shared" si="19"/>
        <v>2021</v>
      </c>
      <c r="G20" s="83">
        <f t="shared" si="19"/>
        <v>2022</v>
      </c>
      <c r="H20" s="83">
        <f t="shared" si="19"/>
        <v>2023</v>
      </c>
      <c r="I20" s="83">
        <f t="shared" si="19"/>
        <v>2024</v>
      </c>
      <c r="J20" s="83">
        <f t="shared" si="19"/>
        <v>2025</v>
      </c>
      <c r="K20" s="83">
        <f t="shared" si="19"/>
        <v>2026</v>
      </c>
      <c r="L20" s="83">
        <f t="shared" si="19"/>
        <v>2027</v>
      </c>
      <c r="M20" s="83">
        <f t="shared" si="19"/>
        <v>2028</v>
      </c>
      <c r="N20" s="83">
        <f t="shared" si="19"/>
        <v>2029</v>
      </c>
      <c r="O20" s="83">
        <f t="shared" si="19"/>
        <v>2030</v>
      </c>
      <c r="P20" s="83">
        <f t="shared" si="19"/>
        <v>2031</v>
      </c>
      <c r="Q20" s="83">
        <f t="shared" si="19"/>
        <v>2032</v>
      </c>
      <c r="R20" s="83">
        <f t="shared" si="19"/>
        <v>2033</v>
      </c>
      <c r="S20" s="83">
        <f t="shared" si="19"/>
        <v>2034</v>
      </c>
      <c r="T20" s="83">
        <f t="shared" si="19"/>
        <v>2035</v>
      </c>
      <c r="U20" s="83">
        <f t="shared" si="19"/>
        <v>2036</v>
      </c>
      <c r="V20" s="83">
        <f t="shared" si="19"/>
        <v>2037</v>
      </c>
      <c r="W20" s="83">
        <f t="shared" ref="W20:X20" si="20">W9</f>
        <v>2038</v>
      </c>
      <c r="X20" s="83">
        <f t="shared" si="20"/>
        <v>2039</v>
      </c>
    </row>
    <row r="21" spans="1:24" x14ac:dyDescent="0.2">
      <c r="A21" s="33" t="s">
        <v>13</v>
      </c>
      <c r="B21" s="33"/>
      <c r="C21" s="33"/>
      <c r="D21" s="33"/>
      <c r="E21" s="143">
        <f>Assumptions!E128</f>
        <v>99</v>
      </c>
      <c r="F21" s="143">
        <f>Assumptions!F128</f>
        <v>99</v>
      </c>
      <c r="G21" s="143">
        <f>Assumptions!G128</f>
        <v>99</v>
      </c>
      <c r="H21" s="143">
        <f>Assumptions!H128</f>
        <v>99</v>
      </c>
      <c r="I21" s="143">
        <f>Assumptions!I128</f>
        <v>99</v>
      </c>
      <c r="J21" s="143">
        <f>Assumptions!J128</f>
        <v>99</v>
      </c>
      <c r="K21" s="143">
        <f>Assumptions!K128</f>
        <v>99</v>
      </c>
      <c r="L21" s="143">
        <f>Assumptions!L128</f>
        <v>99</v>
      </c>
      <c r="M21" s="143">
        <f>Assumptions!M128</f>
        <v>99</v>
      </c>
      <c r="N21" s="143">
        <f>Assumptions!N128</f>
        <v>99</v>
      </c>
      <c r="O21" s="143">
        <f>Assumptions!O128</f>
        <v>99</v>
      </c>
      <c r="P21" s="143">
        <f>Assumptions!P128</f>
        <v>99</v>
      </c>
      <c r="Q21" s="143">
        <f>Assumptions!Q128</f>
        <v>99</v>
      </c>
      <c r="R21" s="143">
        <f>Assumptions!R128</f>
        <v>99</v>
      </c>
      <c r="S21" s="143">
        <f>Assumptions!S128</f>
        <v>99</v>
      </c>
      <c r="T21" s="143">
        <f>Assumptions!T128</f>
        <v>99</v>
      </c>
      <c r="U21" s="143">
        <f>Assumptions!U128</f>
        <v>99</v>
      </c>
      <c r="V21" s="143">
        <f>Assumptions!V128</f>
        <v>99</v>
      </c>
      <c r="W21" s="143">
        <f>Assumptions!W128</f>
        <v>99</v>
      </c>
      <c r="X21" s="143">
        <f>Assumptions!X128</f>
        <v>99</v>
      </c>
    </row>
    <row r="22" spans="1:24" x14ac:dyDescent="0.2">
      <c r="A22" s="33" t="s">
        <v>89</v>
      </c>
      <c r="B22" s="33"/>
      <c r="C22" s="33"/>
      <c r="D22" s="33"/>
      <c r="E22" s="143">
        <f>Assumptions!E133</f>
        <v>399.15645496413356</v>
      </c>
      <c r="F22" s="143">
        <f>Assumptions!F133</f>
        <v>399.15645496413356</v>
      </c>
      <c r="G22" s="143">
        <f>Assumptions!G133</f>
        <v>399.15645496413356</v>
      </c>
      <c r="H22" s="143">
        <f>Assumptions!H133</f>
        <v>399.15645496413356</v>
      </c>
      <c r="I22" s="143">
        <f>Assumptions!I133</f>
        <v>399.15645496413356</v>
      </c>
      <c r="J22" s="143">
        <f>Assumptions!J133</f>
        <v>399.15645496413356</v>
      </c>
      <c r="K22" s="143">
        <f>Assumptions!K133</f>
        <v>399.15645496413356</v>
      </c>
      <c r="L22" s="143">
        <f>Assumptions!L133</f>
        <v>399.15645496413356</v>
      </c>
      <c r="M22" s="143">
        <f>Assumptions!M133</f>
        <v>399.15645496413356</v>
      </c>
      <c r="N22" s="143">
        <f>Assumptions!N133</f>
        <v>399.15645496413356</v>
      </c>
      <c r="O22" s="143">
        <f>Assumptions!O133</f>
        <v>399.15645496413356</v>
      </c>
      <c r="P22" s="143">
        <f>Assumptions!P133</f>
        <v>399.15645496413356</v>
      </c>
      <c r="Q22" s="143">
        <f>Assumptions!Q133</f>
        <v>399.15645496413356</v>
      </c>
      <c r="R22" s="143">
        <f>Assumptions!R133</f>
        <v>399.15645496413356</v>
      </c>
      <c r="S22" s="143">
        <f>Assumptions!S133</f>
        <v>399.15645496413356</v>
      </c>
      <c r="T22" s="143">
        <f>Assumptions!T133</f>
        <v>399.15645496413356</v>
      </c>
      <c r="U22" s="143">
        <f>Assumptions!U133</f>
        <v>399.15645496413356</v>
      </c>
      <c r="V22" s="143">
        <f>Assumptions!V133</f>
        <v>399.15645496413356</v>
      </c>
      <c r="W22" s="143">
        <f>Assumptions!W133</f>
        <v>399.15645496413356</v>
      </c>
      <c r="X22" s="143">
        <f>Assumptions!X133</f>
        <v>399.15645496413356</v>
      </c>
    </row>
    <row r="23" spans="1:24" x14ac:dyDescent="0.2">
      <c r="A23" s="112" t="s">
        <v>88</v>
      </c>
      <c r="B23" s="112"/>
      <c r="C23" s="113"/>
      <c r="D23" s="112"/>
      <c r="E23" s="149">
        <f t="shared" ref="E23:V23" si="21">SUM(E21:E22)</f>
        <v>498.15645496413356</v>
      </c>
      <c r="F23" s="149">
        <f t="shared" si="21"/>
        <v>498.15645496413356</v>
      </c>
      <c r="G23" s="149">
        <f t="shared" si="21"/>
        <v>498.15645496413356</v>
      </c>
      <c r="H23" s="149">
        <f t="shared" si="21"/>
        <v>498.15645496413356</v>
      </c>
      <c r="I23" s="149">
        <f t="shared" si="21"/>
        <v>498.15645496413356</v>
      </c>
      <c r="J23" s="149">
        <f t="shared" si="21"/>
        <v>498.15645496413356</v>
      </c>
      <c r="K23" s="149">
        <f t="shared" si="21"/>
        <v>498.15645496413356</v>
      </c>
      <c r="L23" s="149">
        <f t="shared" si="21"/>
        <v>498.15645496413356</v>
      </c>
      <c r="M23" s="149">
        <f t="shared" si="21"/>
        <v>498.15645496413356</v>
      </c>
      <c r="N23" s="149">
        <f t="shared" si="21"/>
        <v>498.15645496413356</v>
      </c>
      <c r="O23" s="149">
        <f t="shared" si="21"/>
        <v>498.15645496413356</v>
      </c>
      <c r="P23" s="149">
        <f t="shared" si="21"/>
        <v>498.15645496413356</v>
      </c>
      <c r="Q23" s="149">
        <f t="shared" si="21"/>
        <v>498.15645496413356</v>
      </c>
      <c r="R23" s="149">
        <f t="shared" si="21"/>
        <v>498.15645496413356</v>
      </c>
      <c r="S23" s="149">
        <f t="shared" si="21"/>
        <v>498.15645496413356</v>
      </c>
      <c r="T23" s="149">
        <f t="shared" si="21"/>
        <v>498.15645496413356</v>
      </c>
      <c r="U23" s="149">
        <f t="shared" si="21"/>
        <v>498.15645496413356</v>
      </c>
      <c r="V23" s="149">
        <f t="shared" si="21"/>
        <v>498.15645496413356</v>
      </c>
      <c r="W23" s="149">
        <f t="shared" ref="W23:X23" si="22">SUM(W21:W22)</f>
        <v>498.15645496413356</v>
      </c>
      <c r="X23" s="149">
        <f t="shared" si="22"/>
        <v>498.15645496413356</v>
      </c>
    </row>
    <row r="25" spans="1:24" s="163" customFormat="1" x14ac:dyDescent="0.2">
      <c r="A25" s="6" t="s">
        <v>14</v>
      </c>
      <c r="B25" s="160"/>
      <c r="C25" s="160"/>
      <c r="D25" s="160"/>
      <c r="E25" s="161"/>
      <c r="F25" s="161"/>
      <c r="G25" s="161"/>
      <c r="H25" s="161"/>
      <c r="I25" s="161"/>
      <c r="J25" s="161"/>
      <c r="K25" s="161"/>
      <c r="L25" s="161"/>
      <c r="M25" s="161"/>
      <c r="N25" s="161"/>
      <c r="O25" s="161"/>
      <c r="P25" s="161"/>
      <c r="Q25" s="161"/>
      <c r="R25" s="161"/>
      <c r="S25" s="161"/>
      <c r="T25" s="161"/>
      <c r="U25" s="161"/>
      <c r="V25" s="161"/>
      <c r="W25" s="161"/>
      <c r="X25" s="161"/>
    </row>
    <row r="26" spans="1:24" x14ac:dyDescent="0.2">
      <c r="E26" s="38"/>
      <c r="F26" s="38"/>
      <c r="G26" s="38"/>
      <c r="H26" s="38"/>
      <c r="I26" s="38"/>
      <c r="J26" s="38"/>
      <c r="K26" s="38"/>
      <c r="L26" s="38"/>
      <c r="M26" s="38"/>
      <c r="N26" s="38"/>
      <c r="O26" s="38"/>
      <c r="P26" s="38"/>
      <c r="Q26" s="38"/>
      <c r="R26" s="38"/>
      <c r="S26" s="38"/>
      <c r="T26" s="38"/>
      <c r="U26" s="38"/>
      <c r="V26" s="38"/>
      <c r="W26" s="38"/>
      <c r="X26" s="38"/>
    </row>
    <row r="27" spans="1:24" x14ac:dyDescent="0.2">
      <c r="A27" s="83" t="s">
        <v>41</v>
      </c>
      <c r="B27" s="83"/>
      <c r="C27" s="83"/>
      <c r="D27" s="83"/>
      <c r="E27" s="83">
        <f t="shared" ref="E27:V27" si="23">E9</f>
        <v>2020</v>
      </c>
      <c r="F27" s="83">
        <f t="shared" si="23"/>
        <v>2021</v>
      </c>
      <c r="G27" s="83">
        <f t="shared" si="23"/>
        <v>2022</v>
      </c>
      <c r="H27" s="83">
        <f t="shared" si="23"/>
        <v>2023</v>
      </c>
      <c r="I27" s="83">
        <f t="shared" si="23"/>
        <v>2024</v>
      </c>
      <c r="J27" s="83">
        <f t="shared" si="23"/>
        <v>2025</v>
      </c>
      <c r="K27" s="83">
        <f t="shared" si="23"/>
        <v>2026</v>
      </c>
      <c r="L27" s="83">
        <f t="shared" si="23"/>
        <v>2027</v>
      </c>
      <c r="M27" s="83">
        <f t="shared" si="23"/>
        <v>2028</v>
      </c>
      <c r="N27" s="83">
        <f t="shared" si="23"/>
        <v>2029</v>
      </c>
      <c r="O27" s="83">
        <f t="shared" si="23"/>
        <v>2030</v>
      </c>
      <c r="P27" s="83">
        <f t="shared" si="23"/>
        <v>2031</v>
      </c>
      <c r="Q27" s="83">
        <f t="shared" si="23"/>
        <v>2032</v>
      </c>
      <c r="R27" s="83">
        <f t="shared" si="23"/>
        <v>2033</v>
      </c>
      <c r="S27" s="83">
        <f t="shared" si="23"/>
        <v>2034</v>
      </c>
      <c r="T27" s="83">
        <f t="shared" si="23"/>
        <v>2035</v>
      </c>
      <c r="U27" s="83">
        <f t="shared" si="23"/>
        <v>2036</v>
      </c>
      <c r="V27" s="83">
        <f t="shared" si="23"/>
        <v>2037</v>
      </c>
      <c r="W27" s="83">
        <f t="shared" ref="W27:X27" si="24">W9</f>
        <v>2038</v>
      </c>
      <c r="X27" s="83">
        <f t="shared" si="24"/>
        <v>2039</v>
      </c>
    </row>
    <row r="28" spans="1:24" x14ac:dyDescent="0.2">
      <c r="A28" s="45" t="s">
        <v>36</v>
      </c>
      <c r="B28" s="45"/>
      <c r="C28" s="45"/>
      <c r="D28" s="45"/>
      <c r="E28" s="143">
        <v>0</v>
      </c>
      <c r="F28" s="143">
        <f t="shared" ref="F28:V28" si="25">F$10*F38</f>
        <v>10.361654263253978</v>
      </c>
      <c r="G28" s="143">
        <f t="shared" si="25"/>
        <v>15.542481394880967</v>
      </c>
      <c r="H28" s="143">
        <f t="shared" si="25"/>
        <v>20.723308526507957</v>
      </c>
      <c r="I28" s="143">
        <f t="shared" si="25"/>
        <v>25.904135658134944</v>
      </c>
      <c r="J28" s="143">
        <f t="shared" si="25"/>
        <v>31.084962789761931</v>
      </c>
      <c r="K28" s="143">
        <f t="shared" si="25"/>
        <v>36.265789921388915</v>
      </c>
      <c r="L28" s="143">
        <f t="shared" si="25"/>
        <v>41.446617053015906</v>
      </c>
      <c r="M28" s="143">
        <f t="shared" si="25"/>
        <v>46.627444184642897</v>
      </c>
      <c r="N28" s="143">
        <f t="shared" si="25"/>
        <v>51.808271316269888</v>
      </c>
      <c r="O28" s="143">
        <f t="shared" si="25"/>
        <v>56.989098447896872</v>
      </c>
      <c r="P28" s="143">
        <f t="shared" si="25"/>
        <v>62.169925579523863</v>
      </c>
      <c r="Q28" s="143">
        <f t="shared" si="25"/>
        <v>67.350752711150847</v>
      </c>
      <c r="R28" s="143">
        <f t="shared" si="25"/>
        <v>72.53157984277783</v>
      </c>
      <c r="S28" s="143">
        <f t="shared" si="25"/>
        <v>77.712406974404828</v>
      </c>
      <c r="T28" s="143">
        <f t="shared" si="25"/>
        <v>82.893234106031812</v>
      </c>
      <c r="U28" s="143">
        <f t="shared" si="25"/>
        <v>88.07406123765881</v>
      </c>
      <c r="V28" s="143">
        <f t="shared" si="25"/>
        <v>93.254888369285794</v>
      </c>
      <c r="W28" s="143">
        <f t="shared" ref="W28:X28" si="26">W$10*W38</f>
        <v>98.435715500912778</v>
      </c>
      <c r="X28" s="143">
        <f t="shared" si="26"/>
        <v>103.61654263253978</v>
      </c>
    </row>
    <row r="29" spans="1:24" x14ac:dyDescent="0.2">
      <c r="A29" s="45" t="s">
        <v>87</v>
      </c>
      <c r="B29" s="45"/>
      <c r="C29" s="45"/>
      <c r="D29" s="45"/>
      <c r="E29" s="143">
        <v>0</v>
      </c>
      <c r="F29" s="143">
        <f t="shared" ref="F29:V29" si="27">F43</f>
        <v>22.787935695510928</v>
      </c>
      <c r="G29" s="143">
        <f t="shared" si="27"/>
        <v>37.97989282585155</v>
      </c>
      <c r="H29" s="143">
        <f t="shared" si="27"/>
        <v>53.171849956192162</v>
      </c>
      <c r="I29" s="143">
        <f t="shared" si="27"/>
        <v>68.363807086532773</v>
      </c>
      <c r="J29" s="143">
        <f t="shared" si="27"/>
        <v>83.555764216873399</v>
      </c>
      <c r="K29" s="143">
        <f t="shared" si="27"/>
        <v>98.747721347214011</v>
      </c>
      <c r="L29" s="143">
        <f t="shared" si="27"/>
        <v>113.93967847755462</v>
      </c>
      <c r="M29" s="143">
        <f t="shared" si="27"/>
        <v>129.13163560789525</v>
      </c>
      <c r="N29" s="143">
        <f t="shared" si="27"/>
        <v>144.32359273823587</v>
      </c>
      <c r="O29" s="143">
        <f t="shared" si="27"/>
        <v>159.51554986857647</v>
      </c>
      <c r="P29" s="143">
        <f t="shared" si="27"/>
        <v>174.7075069989171</v>
      </c>
      <c r="Q29" s="143">
        <f t="shared" si="27"/>
        <v>189.89946412925772</v>
      </c>
      <c r="R29" s="143">
        <f t="shared" si="27"/>
        <v>205.09142125959832</v>
      </c>
      <c r="S29" s="143">
        <f t="shared" si="27"/>
        <v>220.28337838993895</v>
      </c>
      <c r="T29" s="143">
        <f t="shared" si="27"/>
        <v>235.47533552027954</v>
      </c>
      <c r="U29" s="143">
        <f t="shared" si="27"/>
        <v>250.6672926506202</v>
      </c>
      <c r="V29" s="143">
        <f t="shared" si="27"/>
        <v>265.85924978096079</v>
      </c>
      <c r="W29" s="143">
        <f t="shared" ref="W29:X29" si="28">W43</f>
        <v>281.05120691130145</v>
      </c>
      <c r="X29" s="143">
        <f t="shared" si="28"/>
        <v>296.24316404164205</v>
      </c>
    </row>
    <row r="30" spans="1:24" x14ac:dyDescent="0.2">
      <c r="A30" s="45" t="s">
        <v>0</v>
      </c>
      <c r="B30" s="45"/>
      <c r="C30" s="45"/>
      <c r="D30" s="45"/>
      <c r="E30" s="143">
        <v>0</v>
      </c>
      <c r="F30" s="143">
        <f t="shared" ref="F30:V30" si="29">F55</f>
        <v>8.4710824329130858</v>
      </c>
      <c r="G30" s="143">
        <f t="shared" si="29"/>
        <v>13.912302336177973</v>
      </c>
      <c r="H30" s="143">
        <f t="shared" si="29"/>
        <v>19.176806480576708</v>
      </c>
      <c r="I30" s="143">
        <f t="shared" si="29"/>
        <v>24.264594866109295</v>
      </c>
      <c r="J30" s="143">
        <f t="shared" si="29"/>
        <v>29.175667492775741</v>
      </c>
      <c r="K30" s="143">
        <f t="shared" si="29"/>
        <v>33.910024360576031</v>
      </c>
      <c r="L30" s="143">
        <f t="shared" si="29"/>
        <v>38.46766546951018</v>
      </c>
      <c r="M30" s="143">
        <f t="shared" si="29"/>
        <v>42.848590819578185</v>
      </c>
      <c r="N30" s="143">
        <f t="shared" si="29"/>
        <v>47.052800410780051</v>
      </c>
      <c r="O30" s="143">
        <f t="shared" si="29"/>
        <v>51.080294243115759</v>
      </c>
      <c r="P30" s="143">
        <f t="shared" si="29"/>
        <v>54.931072316585308</v>
      </c>
      <c r="Q30" s="143">
        <f t="shared" si="29"/>
        <v>58.605134631188719</v>
      </c>
      <c r="R30" s="143">
        <f t="shared" si="29"/>
        <v>62.102481186925992</v>
      </c>
      <c r="S30" s="143">
        <f t="shared" si="29"/>
        <v>65.423111983797114</v>
      </c>
      <c r="T30" s="143">
        <f t="shared" si="29"/>
        <v>68.567027021802076</v>
      </c>
      <c r="U30" s="143">
        <f t="shared" si="29"/>
        <v>71.534226300940915</v>
      </c>
      <c r="V30" s="143">
        <f t="shared" si="29"/>
        <v>74.324709821213588</v>
      </c>
      <c r="W30" s="143">
        <f t="shared" ref="W30:X30" si="30">W55</f>
        <v>76.938477582620109</v>
      </c>
      <c r="X30" s="143">
        <f t="shared" si="30"/>
        <v>79.375529585160507</v>
      </c>
    </row>
    <row r="31" spans="1:24" x14ac:dyDescent="0.2">
      <c r="A31" s="45" t="s">
        <v>76</v>
      </c>
      <c r="B31" s="45"/>
      <c r="C31" s="45"/>
      <c r="D31" s="45"/>
      <c r="E31" s="143">
        <f t="shared" ref="E31:V31" si="31">E50*(1-E$13)*E$14</f>
        <v>6.7959184793</v>
      </c>
      <c r="F31" s="143">
        <f t="shared" si="31"/>
        <v>20.177295551370435</v>
      </c>
      <c r="G31" s="143">
        <f t="shared" si="31"/>
        <v>33.137752850381744</v>
      </c>
      <c r="H31" s="143">
        <f t="shared" si="31"/>
        <v>45.677290376333914</v>
      </c>
      <c r="I31" s="143">
        <f t="shared" si="31"/>
        <v>57.795908129226952</v>
      </c>
      <c r="J31" s="143">
        <f t="shared" si="31"/>
        <v>69.493606109060863</v>
      </c>
      <c r="K31" s="143">
        <f t="shared" si="31"/>
        <v>80.770384315835656</v>
      </c>
      <c r="L31" s="143">
        <f t="shared" si="31"/>
        <v>91.626242749551295</v>
      </c>
      <c r="M31" s="143">
        <f t="shared" si="31"/>
        <v>102.06118141020784</v>
      </c>
      <c r="N31" s="143">
        <f t="shared" si="31"/>
        <v>112.07520029780522</v>
      </c>
      <c r="O31" s="143">
        <f t="shared" si="31"/>
        <v>121.6682994123435</v>
      </c>
      <c r="P31" s="143">
        <f t="shared" si="31"/>
        <v>130.84047875382262</v>
      </c>
      <c r="Q31" s="143">
        <f t="shared" si="31"/>
        <v>139.59173832224261</v>
      </c>
      <c r="R31" s="143">
        <f t="shared" si="31"/>
        <v>147.92207811760349</v>
      </c>
      <c r="S31" s="143">
        <f t="shared" si="31"/>
        <v>155.83149813990522</v>
      </c>
      <c r="T31" s="143">
        <f t="shared" si="31"/>
        <v>163.31999838914786</v>
      </c>
      <c r="U31" s="143">
        <f t="shared" si="31"/>
        <v>170.38757886533134</v>
      </c>
      <c r="V31" s="143">
        <f t="shared" si="31"/>
        <v>177.03423956845569</v>
      </c>
      <c r="W31" s="143">
        <f t="shared" ref="W31:X31" si="32">W50*(1-W$13)*W$14</f>
        <v>183.25998049852092</v>
      </c>
      <c r="X31" s="143">
        <f t="shared" si="32"/>
        <v>189.06480165552699</v>
      </c>
    </row>
    <row r="32" spans="1:24" x14ac:dyDescent="0.2">
      <c r="A32" s="115" t="s">
        <v>2</v>
      </c>
      <c r="B32" s="37"/>
      <c r="C32" s="37"/>
      <c r="D32" s="37"/>
      <c r="E32" s="145">
        <f t="shared" ref="E32:V32" si="33">E50*E$13*E$15</f>
        <v>7.7140634913736976</v>
      </c>
      <c r="F32" s="145">
        <f t="shared" si="33"/>
        <v>22.903296948246492</v>
      </c>
      <c r="G32" s="145">
        <f t="shared" si="33"/>
        <v>37.614743353370073</v>
      </c>
      <c r="H32" s="145">
        <f t="shared" si="33"/>
        <v>51.84840270674443</v>
      </c>
      <c r="I32" s="145">
        <f t="shared" si="33"/>
        <v>65.604275008369569</v>
      </c>
      <c r="J32" s="145">
        <f t="shared" si="33"/>
        <v>78.882360258245512</v>
      </c>
      <c r="K32" s="145">
        <f t="shared" si="33"/>
        <v>91.682658456372224</v>
      </c>
      <c r="L32" s="145">
        <f t="shared" si="33"/>
        <v>104.00516960274975</v>
      </c>
      <c r="M32" s="145">
        <f t="shared" si="33"/>
        <v>115.84989369737805</v>
      </c>
      <c r="N32" s="145">
        <f t="shared" si="33"/>
        <v>127.21683074025715</v>
      </c>
      <c r="O32" s="145">
        <f t="shared" si="33"/>
        <v>138.10598073138704</v>
      </c>
      <c r="P32" s="145">
        <f t="shared" si="33"/>
        <v>148.51734367076767</v>
      </c>
      <c r="Q32" s="145">
        <f t="shared" si="33"/>
        <v>158.45091955839911</v>
      </c>
      <c r="R32" s="145">
        <f t="shared" si="33"/>
        <v>167.90670839428137</v>
      </c>
      <c r="S32" s="145">
        <f t="shared" si="33"/>
        <v>176.88471017841439</v>
      </c>
      <c r="T32" s="145">
        <f t="shared" si="33"/>
        <v>185.38492491079819</v>
      </c>
      <c r="U32" s="145">
        <f t="shared" si="33"/>
        <v>193.40735259143281</v>
      </c>
      <c r="V32" s="145">
        <f t="shared" si="33"/>
        <v>200.9519932203182</v>
      </c>
      <c r="W32" s="145">
        <f t="shared" ref="W32:X32" si="34">W50*W$13*W$15</f>
        <v>208.01884679745436</v>
      </c>
      <c r="X32" s="145">
        <f t="shared" si="34"/>
        <v>214.60791332284134</v>
      </c>
    </row>
    <row r="33" spans="1:24" x14ac:dyDescent="0.2">
      <c r="A33" s="114" t="s">
        <v>77</v>
      </c>
      <c r="B33" s="114"/>
      <c r="C33" s="114"/>
      <c r="D33" s="114"/>
      <c r="E33" s="146">
        <f t="shared" ref="E33:V33" si="35">SUM(E28:E32)</f>
        <v>14.509981970673698</v>
      </c>
      <c r="F33" s="146">
        <f t="shared" si="35"/>
        <v>84.701264891294926</v>
      </c>
      <c r="G33" s="146">
        <f t="shared" si="35"/>
        <v>138.18717276066229</v>
      </c>
      <c r="H33" s="146">
        <f t="shared" si="35"/>
        <v>190.59765804635515</v>
      </c>
      <c r="I33" s="146">
        <f t="shared" si="35"/>
        <v>241.93272074837353</v>
      </c>
      <c r="J33" s="146">
        <f t="shared" si="35"/>
        <v>292.19236086671742</v>
      </c>
      <c r="K33" s="146">
        <f t="shared" si="35"/>
        <v>341.37657840138684</v>
      </c>
      <c r="L33" s="146">
        <f t="shared" si="35"/>
        <v>389.48537335238171</v>
      </c>
      <c r="M33" s="146">
        <f t="shared" si="35"/>
        <v>436.51874571970222</v>
      </c>
      <c r="N33" s="146">
        <f t="shared" si="35"/>
        <v>482.4766955033482</v>
      </c>
      <c r="O33" s="146">
        <f t="shared" si="35"/>
        <v>527.35922270331957</v>
      </c>
      <c r="P33" s="146">
        <f t="shared" si="35"/>
        <v>571.16632731961658</v>
      </c>
      <c r="Q33" s="146">
        <f t="shared" si="35"/>
        <v>613.89800935223911</v>
      </c>
      <c r="R33" s="146">
        <f t="shared" si="35"/>
        <v>655.55426880118705</v>
      </c>
      <c r="S33" s="146">
        <f t="shared" si="35"/>
        <v>696.1351056664605</v>
      </c>
      <c r="T33" s="146">
        <f t="shared" si="35"/>
        <v>735.64051994805948</v>
      </c>
      <c r="U33" s="146">
        <f t="shared" si="35"/>
        <v>774.0705116459842</v>
      </c>
      <c r="V33" s="146">
        <f t="shared" si="35"/>
        <v>811.4250807602341</v>
      </c>
      <c r="W33" s="146">
        <f t="shared" ref="W33:X33" si="36">SUM(W28:W32)</f>
        <v>847.70422729080963</v>
      </c>
      <c r="X33" s="146">
        <f t="shared" si="36"/>
        <v>882.90795123771068</v>
      </c>
    </row>
    <row r="34" spans="1:24" s="2" customFormat="1" x14ac:dyDescent="0.2">
      <c r="A34" s="25"/>
      <c r="B34" s="25"/>
      <c r="C34" s="25"/>
      <c r="D34" s="25"/>
      <c r="E34" s="38"/>
      <c r="F34" s="38"/>
      <c r="G34" s="38"/>
      <c r="H34" s="38"/>
      <c r="I34" s="38"/>
      <c r="J34" s="38"/>
      <c r="K34" s="38"/>
      <c r="L34" s="38"/>
      <c r="M34" s="38"/>
      <c r="N34" s="38"/>
      <c r="O34" s="38"/>
      <c r="P34" s="38"/>
      <c r="Q34" s="38"/>
      <c r="R34" s="38"/>
      <c r="S34" s="38"/>
      <c r="T34" s="38"/>
      <c r="U34" s="38"/>
      <c r="V34" s="38"/>
      <c r="W34" s="38"/>
      <c r="X34" s="38"/>
    </row>
    <row r="35" spans="1:24" x14ac:dyDescent="0.2">
      <c r="A35" s="83" t="s">
        <v>78</v>
      </c>
      <c r="B35" s="83"/>
      <c r="C35" s="83"/>
      <c r="D35" s="83"/>
      <c r="E35" s="83">
        <f t="shared" ref="E35:V35" si="37">E9</f>
        <v>2020</v>
      </c>
      <c r="F35" s="83">
        <f t="shared" si="37"/>
        <v>2021</v>
      </c>
      <c r="G35" s="83">
        <f t="shared" si="37"/>
        <v>2022</v>
      </c>
      <c r="H35" s="83">
        <f t="shared" si="37"/>
        <v>2023</v>
      </c>
      <c r="I35" s="83">
        <f t="shared" si="37"/>
        <v>2024</v>
      </c>
      <c r="J35" s="83">
        <f t="shared" si="37"/>
        <v>2025</v>
      </c>
      <c r="K35" s="83">
        <f t="shared" si="37"/>
        <v>2026</v>
      </c>
      <c r="L35" s="83">
        <f t="shared" si="37"/>
        <v>2027</v>
      </c>
      <c r="M35" s="83">
        <f t="shared" si="37"/>
        <v>2028</v>
      </c>
      <c r="N35" s="83">
        <f t="shared" si="37"/>
        <v>2029</v>
      </c>
      <c r="O35" s="83">
        <f t="shared" si="37"/>
        <v>2030</v>
      </c>
      <c r="P35" s="83">
        <f t="shared" si="37"/>
        <v>2031</v>
      </c>
      <c r="Q35" s="83">
        <f t="shared" si="37"/>
        <v>2032</v>
      </c>
      <c r="R35" s="83">
        <f t="shared" si="37"/>
        <v>2033</v>
      </c>
      <c r="S35" s="83">
        <f t="shared" si="37"/>
        <v>2034</v>
      </c>
      <c r="T35" s="83">
        <f t="shared" si="37"/>
        <v>2035</v>
      </c>
      <c r="U35" s="83">
        <f t="shared" si="37"/>
        <v>2036</v>
      </c>
      <c r="V35" s="83">
        <f t="shared" si="37"/>
        <v>2037</v>
      </c>
      <c r="W35" s="83">
        <f t="shared" ref="W35:X35" si="38">W9</f>
        <v>2038</v>
      </c>
      <c r="X35" s="83">
        <f t="shared" si="38"/>
        <v>2039</v>
      </c>
    </row>
    <row r="36" spans="1:24" x14ac:dyDescent="0.2">
      <c r="A36" s="41" t="s">
        <v>79</v>
      </c>
      <c r="B36" s="41"/>
      <c r="C36" s="41"/>
      <c r="D36" s="41"/>
      <c r="E36" s="147">
        <v>0</v>
      </c>
      <c r="F36" s="147">
        <f t="shared" ref="F36" si="39">E38</f>
        <v>498.15645496413356</v>
      </c>
      <c r="G36" s="147">
        <f t="shared" ref="G36" si="40">F38</f>
        <v>996.31290992826712</v>
      </c>
      <c r="H36" s="147">
        <f t="shared" ref="H36" si="41">G38</f>
        <v>1494.4693648924008</v>
      </c>
      <c r="I36" s="147">
        <f t="shared" ref="I36" si="42">H38</f>
        <v>1992.6258198565342</v>
      </c>
      <c r="J36" s="147">
        <f t="shared" ref="J36" si="43">I38</f>
        <v>2490.7822748206677</v>
      </c>
      <c r="K36" s="147">
        <f t="shared" ref="K36" si="44">J38</f>
        <v>2988.9387297848011</v>
      </c>
      <c r="L36" s="147">
        <f t="shared" ref="L36" si="45">K38</f>
        <v>3487.0951847489346</v>
      </c>
      <c r="M36" s="147">
        <f t="shared" ref="M36" si="46">L38</f>
        <v>3985.251639713068</v>
      </c>
      <c r="N36" s="147">
        <f t="shared" ref="N36" si="47">M38</f>
        <v>4483.4080946772019</v>
      </c>
      <c r="O36" s="147">
        <f t="shared" ref="O36" si="48">N38</f>
        <v>4981.5645496413354</v>
      </c>
      <c r="P36" s="147">
        <f t="shared" ref="P36" si="49">O38</f>
        <v>5479.7210046054688</v>
      </c>
      <c r="Q36" s="147">
        <f t="shared" ref="Q36" si="50">P38</f>
        <v>5977.8774595696023</v>
      </c>
      <c r="R36" s="147">
        <f t="shared" ref="R36" si="51">Q38</f>
        <v>6476.0339145337357</v>
      </c>
      <c r="S36" s="147">
        <f t="shared" ref="S36" si="52">R38</f>
        <v>6974.1903694978691</v>
      </c>
      <c r="T36" s="147">
        <f t="shared" ref="T36" si="53">S38</f>
        <v>7472.3468244620026</v>
      </c>
      <c r="U36" s="147">
        <f t="shared" ref="U36" si="54">T38</f>
        <v>7970.503279426136</v>
      </c>
      <c r="V36" s="147">
        <f t="shared" ref="V36" si="55">U38</f>
        <v>8468.6597343902704</v>
      </c>
      <c r="W36" s="147">
        <f t="shared" ref="W36" si="56">V38</f>
        <v>8966.8161893544038</v>
      </c>
      <c r="X36" s="147">
        <f t="shared" ref="X36" si="57">W38</f>
        <v>9464.9726443185373</v>
      </c>
    </row>
    <row r="37" spans="1:24" x14ac:dyDescent="0.2">
      <c r="A37" s="150" t="s">
        <v>75</v>
      </c>
      <c r="B37" s="150"/>
      <c r="C37" s="150"/>
      <c r="D37" s="150"/>
      <c r="E37" s="148">
        <f t="shared" ref="E37:V37" si="58">E23</f>
        <v>498.15645496413356</v>
      </c>
      <c r="F37" s="148">
        <f t="shared" si="58"/>
        <v>498.15645496413356</v>
      </c>
      <c r="G37" s="148">
        <f t="shared" si="58"/>
        <v>498.15645496413356</v>
      </c>
      <c r="H37" s="148">
        <f t="shared" si="58"/>
        <v>498.15645496413356</v>
      </c>
      <c r="I37" s="148">
        <f t="shared" si="58"/>
        <v>498.15645496413356</v>
      </c>
      <c r="J37" s="148">
        <f t="shared" si="58"/>
        <v>498.15645496413356</v>
      </c>
      <c r="K37" s="148">
        <f t="shared" si="58"/>
        <v>498.15645496413356</v>
      </c>
      <c r="L37" s="148">
        <f t="shared" si="58"/>
        <v>498.15645496413356</v>
      </c>
      <c r="M37" s="148">
        <f t="shared" si="58"/>
        <v>498.15645496413356</v>
      </c>
      <c r="N37" s="148">
        <f t="shared" si="58"/>
        <v>498.15645496413356</v>
      </c>
      <c r="O37" s="148">
        <f t="shared" si="58"/>
        <v>498.15645496413356</v>
      </c>
      <c r="P37" s="148">
        <f t="shared" si="58"/>
        <v>498.15645496413356</v>
      </c>
      <c r="Q37" s="148">
        <f t="shared" si="58"/>
        <v>498.15645496413356</v>
      </c>
      <c r="R37" s="148">
        <f t="shared" si="58"/>
        <v>498.15645496413356</v>
      </c>
      <c r="S37" s="148">
        <f t="shared" si="58"/>
        <v>498.15645496413356</v>
      </c>
      <c r="T37" s="148">
        <f t="shared" si="58"/>
        <v>498.15645496413356</v>
      </c>
      <c r="U37" s="148">
        <f t="shared" si="58"/>
        <v>498.15645496413356</v>
      </c>
      <c r="V37" s="148">
        <f t="shared" si="58"/>
        <v>498.15645496413356</v>
      </c>
      <c r="W37" s="148">
        <f t="shared" ref="W37:X37" si="59">W23</f>
        <v>498.15645496413356</v>
      </c>
      <c r="X37" s="148">
        <f t="shared" si="59"/>
        <v>498.15645496413356</v>
      </c>
    </row>
    <row r="38" spans="1:24" x14ac:dyDescent="0.2">
      <c r="A38" s="41" t="s">
        <v>10</v>
      </c>
      <c r="B38" s="41"/>
      <c r="C38" s="41"/>
      <c r="D38" s="41"/>
      <c r="E38" s="147">
        <f t="shared" ref="E38:V38" si="60">E36+E37</f>
        <v>498.15645496413356</v>
      </c>
      <c r="F38" s="147">
        <f t="shared" si="60"/>
        <v>996.31290992826712</v>
      </c>
      <c r="G38" s="147">
        <f t="shared" si="60"/>
        <v>1494.4693648924008</v>
      </c>
      <c r="H38" s="147">
        <f t="shared" si="60"/>
        <v>1992.6258198565342</v>
      </c>
      <c r="I38" s="147">
        <f t="shared" si="60"/>
        <v>2490.7822748206677</v>
      </c>
      <c r="J38" s="147">
        <f t="shared" si="60"/>
        <v>2988.9387297848011</v>
      </c>
      <c r="K38" s="147">
        <f t="shared" si="60"/>
        <v>3487.0951847489346</v>
      </c>
      <c r="L38" s="147">
        <f t="shared" si="60"/>
        <v>3985.251639713068</v>
      </c>
      <c r="M38" s="147">
        <f t="shared" si="60"/>
        <v>4483.4080946772019</v>
      </c>
      <c r="N38" s="147">
        <f t="shared" si="60"/>
        <v>4981.5645496413354</v>
      </c>
      <c r="O38" s="147">
        <f t="shared" si="60"/>
        <v>5479.7210046054688</v>
      </c>
      <c r="P38" s="147">
        <f t="shared" si="60"/>
        <v>5977.8774595696023</v>
      </c>
      <c r="Q38" s="147">
        <f t="shared" si="60"/>
        <v>6476.0339145337357</v>
      </c>
      <c r="R38" s="147">
        <f t="shared" si="60"/>
        <v>6974.1903694978691</v>
      </c>
      <c r="S38" s="147">
        <f t="shared" si="60"/>
        <v>7472.3468244620026</v>
      </c>
      <c r="T38" s="147">
        <f t="shared" si="60"/>
        <v>7970.503279426136</v>
      </c>
      <c r="U38" s="147">
        <f t="shared" si="60"/>
        <v>8468.6597343902704</v>
      </c>
      <c r="V38" s="147">
        <f t="shared" si="60"/>
        <v>8966.8161893544038</v>
      </c>
      <c r="W38" s="147">
        <f t="shared" ref="W38:X38" si="61">W36+W37</f>
        <v>9464.9726443185373</v>
      </c>
      <c r="X38" s="147">
        <f t="shared" si="61"/>
        <v>9963.1290992826707</v>
      </c>
    </row>
    <row r="39" spans="1:24" x14ac:dyDescent="0.2">
      <c r="A39" s="45" t="s">
        <v>80</v>
      </c>
      <c r="B39" s="41"/>
      <c r="C39" s="41"/>
      <c r="D39" s="41"/>
      <c r="E39" s="147">
        <f t="shared" ref="E39:V39" si="62">(E36+E38)/2</f>
        <v>249.07822748206678</v>
      </c>
      <c r="F39" s="147">
        <f t="shared" si="62"/>
        <v>747.2346824462004</v>
      </c>
      <c r="G39" s="147">
        <f t="shared" si="62"/>
        <v>1245.3911374103341</v>
      </c>
      <c r="H39" s="147">
        <f t="shared" si="62"/>
        <v>1743.5475923744675</v>
      </c>
      <c r="I39" s="147">
        <f t="shared" si="62"/>
        <v>2241.704047338601</v>
      </c>
      <c r="J39" s="147">
        <f t="shared" si="62"/>
        <v>2739.8605023027344</v>
      </c>
      <c r="K39" s="147">
        <f t="shared" si="62"/>
        <v>3238.0169572668678</v>
      </c>
      <c r="L39" s="147">
        <f t="shared" si="62"/>
        <v>3736.1734122310013</v>
      </c>
      <c r="M39" s="147">
        <f t="shared" si="62"/>
        <v>4234.3298671951352</v>
      </c>
      <c r="N39" s="147">
        <f t="shared" si="62"/>
        <v>4732.4863221592686</v>
      </c>
      <c r="O39" s="147">
        <f t="shared" si="62"/>
        <v>5230.6427771234021</v>
      </c>
      <c r="P39" s="147">
        <f t="shared" si="62"/>
        <v>5728.7992320875355</v>
      </c>
      <c r="Q39" s="147">
        <f t="shared" si="62"/>
        <v>6226.955687051669</v>
      </c>
      <c r="R39" s="147">
        <f t="shared" si="62"/>
        <v>6725.1121420158024</v>
      </c>
      <c r="S39" s="147">
        <f t="shared" si="62"/>
        <v>7223.2685969799359</v>
      </c>
      <c r="T39" s="147">
        <f t="shared" si="62"/>
        <v>7721.4250519440693</v>
      </c>
      <c r="U39" s="147">
        <f t="shared" si="62"/>
        <v>8219.5815069082037</v>
      </c>
      <c r="V39" s="147">
        <f t="shared" si="62"/>
        <v>8717.7379618723371</v>
      </c>
      <c r="W39" s="147">
        <f t="shared" ref="W39:X39" si="63">(W36+W38)/2</f>
        <v>9215.8944168364706</v>
      </c>
      <c r="X39" s="147">
        <f t="shared" si="63"/>
        <v>9714.050871800604</v>
      </c>
    </row>
    <row r="40" spans="1:24" x14ac:dyDescent="0.2">
      <c r="A40" s="42"/>
      <c r="B40" s="42"/>
      <c r="C40" s="42"/>
      <c r="D40" s="42"/>
      <c r="E40" s="39"/>
      <c r="F40" s="39"/>
      <c r="G40" s="39"/>
      <c r="H40" s="39"/>
      <c r="I40" s="39"/>
      <c r="J40" s="39"/>
      <c r="K40" s="39"/>
      <c r="L40" s="39"/>
      <c r="M40" s="39"/>
      <c r="N40" s="39"/>
      <c r="O40" s="39"/>
      <c r="P40" s="39"/>
      <c r="Q40" s="39"/>
      <c r="R40" s="39"/>
      <c r="S40" s="39"/>
      <c r="T40" s="39"/>
      <c r="U40" s="39"/>
      <c r="V40" s="39"/>
      <c r="W40" s="39"/>
      <c r="X40" s="39"/>
    </row>
    <row r="41" spans="1:24" x14ac:dyDescent="0.2">
      <c r="A41" s="83" t="s">
        <v>81</v>
      </c>
      <c r="B41" s="83"/>
      <c r="C41" s="83"/>
      <c r="D41" s="83"/>
      <c r="E41" s="83">
        <f t="shared" ref="E41:V41" si="64">E9</f>
        <v>2020</v>
      </c>
      <c r="F41" s="83">
        <f t="shared" si="64"/>
        <v>2021</v>
      </c>
      <c r="G41" s="83">
        <f t="shared" si="64"/>
        <v>2022</v>
      </c>
      <c r="H41" s="83">
        <f t="shared" si="64"/>
        <v>2023</v>
      </c>
      <c r="I41" s="83">
        <f t="shared" si="64"/>
        <v>2024</v>
      </c>
      <c r="J41" s="83">
        <f t="shared" si="64"/>
        <v>2025</v>
      </c>
      <c r="K41" s="83">
        <f t="shared" si="64"/>
        <v>2026</v>
      </c>
      <c r="L41" s="83">
        <f t="shared" si="64"/>
        <v>2027</v>
      </c>
      <c r="M41" s="83">
        <f t="shared" si="64"/>
        <v>2028</v>
      </c>
      <c r="N41" s="83">
        <f t="shared" si="64"/>
        <v>2029</v>
      </c>
      <c r="O41" s="83">
        <f t="shared" si="64"/>
        <v>2030</v>
      </c>
      <c r="P41" s="83">
        <f t="shared" si="64"/>
        <v>2031</v>
      </c>
      <c r="Q41" s="83">
        <f t="shared" si="64"/>
        <v>2032</v>
      </c>
      <c r="R41" s="83">
        <f t="shared" si="64"/>
        <v>2033</v>
      </c>
      <c r="S41" s="83">
        <f t="shared" si="64"/>
        <v>2034</v>
      </c>
      <c r="T41" s="83">
        <f t="shared" si="64"/>
        <v>2035</v>
      </c>
      <c r="U41" s="83">
        <f t="shared" si="64"/>
        <v>2036</v>
      </c>
      <c r="V41" s="83">
        <f t="shared" si="64"/>
        <v>2037</v>
      </c>
      <c r="W41" s="83">
        <f t="shared" ref="W41:X41" si="65">W9</f>
        <v>2038</v>
      </c>
      <c r="X41" s="83">
        <f t="shared" si="65"/>
        <v>2039</v>
      </c>
    </row>
    <row r="42" spans="1:24" x14ac:dyDescent="0.2">
      <c r="A42" s="45" t="s">
        <v>79</v>
      </c>
      <c r="B42" s="45"/>
      <c r="C42" s="45"/>
      <c r="D42" s="45"/>
      <c r="E42" s="143">
        <v>0</v>
      </c>
      <c r="F42" s="143">
        <f t="shared" ref="F42" si="66">E44</f>
        <v>7.5959785651703093</v>
      </c>
      <c r="G42" s="143">
        <f t="shared" ref="G42" si="67">F44</f>
        <v>30.383914260681237</v>
      </c>
      <c r="H42" s="143">
        <f t="shared" ref="H42" si="68">G44</f>
        <v>68.363807086532788</v>
      </c>
      <c r="I42" s="143">
        <f t="shared" ref="I42" si="69">H44</f>
        <v>121.53565704272495</v>
      </c>
      <c r="J42" s="143">
        <f t="shared" ref="J42" si="70">I44</f>
        <v>189.89946412925772</v>
      </c>
      <c r="K42" s="143">
        <f t="shared" ref="K42" si="71">J44</f>
        <v>273.45522834613109</v>
      </c>
      <c r="L42" s="143">
        <f t="shared" ref="L42" si="72">K44</f>
        <v>372.20294969334509</v>
      </c>
      <c r="M42" s="143">
        <f t="shared" ref="M42" si="73">L44</f>
        <v>486.14262817089968</v>
      </c>
      <c r="N42" s="143">
        <f t="shared" ref="N42" si="74">M44</f>
        <v>615.27426377879488</v>
      </c>
      <c r="O42" s="143">
        <f t="shared" ref="O42" si="75">N44</f>
        <v>759.59785651703078</v>
      </c>
      <c r="P42" s="143">
        <f t="shared" ref="P42" si="76">O44</f>
        <v>919.11340638560728</v>
      </c>
      <c r="Q42" s="143">
        <f t="shared" ref="Q42" si="77">P44</f>
        <v>1093.8209133845244</v>
      </c>
      <c r="R42" s="143">
        <f t="shared" ref="R42" si="78">Q44</f>
        <v>1283.7203775137821</v>
      </c>
      <c r="S42" s="143">
        <f t="shared" ref="S42" si="79">R44</f>
        <v>1488.8117987733804</v>
      </c>
      <c r="T42" s="143">
        <f t="shared" ref="T42" si="80">S44</f>
        <v>1709.0951771633192</v>
      </c>
      <c r="U42" s="143">
        <f t="shared" ref="U42" si="81">T44</f>
        <v>1944.5705126835987</v>
      </c>
      <c r="V42" s="143">
        <f t="shared" ref="V42" si="82">U44</f>
        <v>2195.237805334219</v>
      </c>
      <c r="W42" s="143">
        <f t="shared" ref="W42" si="83">V44</f>
        <v>2461.09705511518</v>
      </c>
      <c r="X42" s="143">
        <f t="shared" ref="X42" si="84">W44</f>
        <v>2742.1482620264815</v>
      </c>
    </row>
    <row r="43" spans="1:24" x14ac:dyDescent="0.2">
      <c r="A43" s="150" t="s">
        <v>87</v>
      </c>
      <c r="B43" s="150"/>
      <c r="C43" s="150"/>
      <c r="D43" s="150"/>
      <c r="E43" s="148">
        <f t="shared" ref="E43:V43" si="85">E$11*E39</f>
        <v>7.5959785651703093</v>
      </c>
      <c r="F43" s="148">
        <f t="shared" si="85"/>
        <v>22.787935695510928</v>
      </c>
      <c r="G43" s="148">
        <f t="shared" si="85"/>
        <v>37.97989282585155</v>
      </c>
      <c r="H43" s="148">
        <f t="shared" si="85"/>
        <v>53.171849956192162</v>
      </c>
      <c r="I43" s="148">
        <f t="shared" si="85"/>
        <v>68.363807086532773</v>
      </c>
      <c r="J43" s="148">
        <f t="shared" si="85"/>
        <v>83.555764216873399</v>
      </c>
      <c r="K43" s="148">
        <f t="shared" si="85"/>
        <v>98.747721347214011</v>
      </c>
      <c r="L43" s="148">
        <f t="shared" si="85"/>
        <v>113.93967847755462</v>
      </c>
      <c r="M43" s="148">
        <f t="shared" si="85"/>
        <v>129.13163560789525</v>
      </c>
      <c r="N43" s="148">
        <f t="shared" si="85"/>
        <v>144.32359273823587</v>
      </c>
      <c r="O43" s="148">
        <f t="shared" si="85"/>
        <v>159.51554986857647</v>
      </c>
      <c r="P43" s="148">
        <f t="shared" si="85"/>
        <v>174.7075069989171</v>
      </c>
      <c r="Q43" s="148">
        <f t="shared" si="85"/>
        <v>189.89946412925772</v>
      </c>
      <c r="R43" s="148">
        <f t="shared" si="85"/>
        <v>205.09142125959832</v>
      </c>
      <c r="S43" s="148">
        <f t="shared" si="85"/>
        <v>220.28337838993895</v>
      </c>
      <c r="T43" s="148">
        <f t="shared" si="85"/>
        <v>235.47533552027954</v>
      </c>
      <c r="U43" s="148">
        <f t="shared" si="85"/>
        <v>250.6672926506202</v>
      </c>
      <c r="V43" s="148">
        <f t="shared" si="85"/>
        <v>265.85924978096079</v>
      </c>
      <c r="W43" s="148">
        <f t="shared" ref="W43:X43" si="86">W$11*W39</f>
        <v>281.05120691130145</v>
      </c>
      <c r="X43" s="148">
        <f t="shared" si="86"/>
        <v>296.24316404164205</v>
      </c>
    </row>
    <row r="44" spans="1:24" x14ac:dyDescent="0.2">
      <c r="A44" s="41" t="s">
        <v>10</v>
      </c>
      <c r="B44" s="41"/>
      <c r="C44" s="41"/>
      <c r="D44" s="41"/>
      <c r="E44" s="147">
        <f t="shared" ref="E44:V44" si="87">SUM(E42:E43)</f>
        <v>7.5959785651703093</v>
      </c>
      <c r="F44" s="147">
        <f t="shared" si="87"/>
        <v>30.383914260681237</v>
      </c>
      <c r="G44" s="147">
        <f t="shared" si="87"/>
        <v>68.363807086532788</v>
      </c>
      <c r="H44" s="147">
        <f t="shared" si="87"/>
        <v>121.53565704272495</v>
      </c>
      <c r="I44" s="147">
        <f t="shared" si="87"/>
        <v>189.89946412925772</v>
      </c>
      <c r="J44" s="147">
        <f t="shared" si="87"/>
        <v>273.45522834613109</v>
      </c>
      <c r="K44" s="147">
        <f t="shared" si="87"/>
        <v>372.20294969334509</v>
      </c>
      <c r="L44" s="147">
        <f t="shared" si="87"/>
        <v>486.14262817089968</v>
      </c>
      <c r="M44" s="147">
        <f t="shared" si="87"/>
        <v>615.27426377879488</v>
      </c>
      <c r="N44" s="147">
        <f t="shared" si="87"/>
        <v>759.59785651703078</v>
      </c>
      <c r="O44" s="147">
        <f t="shared" si="87"/>
        <v>919.11340638560728</v>
      </c>
      <c r="P44" s="147">
        <f t="shared" si="87"/>
        <v>1093.8209133845244</v>
      </c>
      <c r="Q44" s="147">
        <f t="shared" si="87"/>
        <v>1283.7203775137821</v>
      </c>
      <c r="R44" s="147">
        <f t="shared" si="87"/>
        <v>1488.8117987733804</v>
      </c>
      <c r="S44" s="147">
        <f t="shared" si="87"/>
        <v>1709.0951771633192</v>
      </c>
      <c r="T44" s="147">
        <f t="shared" si="87"/>
        <v>1944.5705126835987</v>
      </c>
      <c r="U44" s="147">
        <f t="shared" si="87"/>
        <v>2195.237805334219</v>
      </c>
      <c r="V44" s="147">
        <f t="shared" si="87"/>
        <v>2461.09705511518</v>
      </c>
      <c r="W44" s="147">
        <f t="shared" ref="W44:X44" si="88">SUM(W42:W43)</f>
        <v>2742.1482620264815</v>
      </c>
      <c r="X44" s="147">
        <f t="shared" si="88"/>
        <v>3038.3914260681236</v>
      </c>
    </row>
    <row r="45" spans="1:24" x14ac:dyDescent="0.2">
      <c r="A45" s="45" t="s">
        <v>80</v>
      </c>
      <c r="B45" s="45"/>
      <c r="C45" s="45"/>
      <c r="D45" s="45"/>
      <c r="E45" s="143">
        <f t="shared" ref="E45:V45" si="89">(E42+E44)/2</f>
        <v>3.7979892825851547</v>
      </c>
      <c r="F45" s="143">
        <f t="shared" si="89"/>
        <v>18.989946412925775</v>
      </c>
      <c r="G45" s="143">
        <f t="shared" si="89"/>
        <v>49.373860673607012</v>
      </c>
      <c r="H45" s="143">
        <f t="shared" si="89"/>
        <v>94.949732064628876</v>
      </c>
      <c r="I45" s="143">
        <f t="shared" si="89"/>
        <v>155.71756058599135</v>
      </c>
      <c r="J45" s="143">
        <f t="shared" si="89"/>
        <v>231.67734623769439</v>
      </c>
      <c r="K45" s="143">
        <f t="shared" si="89"/>
        <v>322.82908901973809</v>
      </c>
      <c r="L45" s="143">
        <f t="shared" si="89"/>
        <v>429.17278893212239</v>
      </c>
      <c r="M45" s="143">
        <f t="shared" si="89"/>
        <v>550.70844597484734</v>
      </c>
      <c r="N45" s="143">
        <f t="shared" si="89"/>
        <v>687.43606014791283</v>
      </c>
      <c r="O45" s="143">
        <f t="shared" si="89"/>
        <v>839.35563145131903</v>
      </c>
      <c r="P45" s="143">
        <f t="shared" si="89"/>
        <v>1006.4671598850658</v>
      </c>
      <c r="Q45" s="143">
        <f t="shared" si="89"/>
        <v>1188.7706454491531</v>
      </c>
      <c r="R45" s="143">
        <f t="shared" si="89"/>
        <v>1386.2660881435813</v>
      </c>
      <c r="S45" s="143">
        <f t="shared" si="89"/>
        <v>1598.9534879683497</v>
      </c>
      <c r="T45" s="143">
        <f t="shared" si="89"/>
        <v>1826.8328449234591</v>
      </c>
      <c r="U45" s="143">
        <f t="shared" si="89"/>
        <v>2069.9041590089091</v>
      </c>
      <c r="V45" s="143">
        <f t="shared" si="89"/>
        <v>2328.1674302246993</v>
      </c>
      <c r="W45" s="143">
        <f t="shared" ref="W45:X45" si="90">(W42+W44)/2</f>
        <v>2601.6226585708309</v>
      </c>
      <c r="X45" s="143">
        <f t="shared" si="90"/>
        <v>2890.2698440473023</v>
      </c>
    </row>
    <row r="46" spans="1:24" x14ac:dyDescent="0.2">
      <c r="A46" s="46"/>
      <c r="B46" s="42"/>
      <c r="C46" s="42"/>
      <c r="D46" s="42"/>
      <c r="E46" s="39"/>
      <c r="F46" s="39"/>
      <c r="G46" s="39"/>
      <c r="H46" s="39"/>
      <c r="I46" s="39"/>
      <c r="J46" s="39"/>
      <c r="K46" s="39"/>
      <c r="L46" s="39"/>
      <c r="M46" s="39"/>
      <c r="N46" s="39"/>
      <c r="O46" s="39"/>
      <c r="P46" s="39"/>
      <c r="Q46" s="39"/>
      <c r="R46" s="39"/>
      <c r="S46" s="39"/>
      <c r="T46" s="39"/>
      <c r="U46" s="39"/>
      <c r="V46" s="39"/>
      <c r="W46" s="39"/>
      <c r="X46" s="39"/>
    </row>
    <row r="47" spans="1:24" x14ac:dyDescent="0.2">
      <c r="A47" s="83" t="s">
        <v>85</v>
      </c>
      <c r="B47" s="83"/>
      <c r="C47" s="83"/>
      <c r="D47" s="83"/>
      <c r="E47" s="83">
        <f t="shared" ref="E47:V47" si="91">E9</f>
        <v>2020</v>
      </c>
      <c r="F47" s="83">
        <f t="shared" si="91"/>
        <v>2021</v>
      </c>
      <c r="G47" s="83">
        <f t="shared" si="91"/>
        <v>2022</v>
      </c>
      <c r="H47" s="83">
        <f t="shared" si="91"/>
        <v>2023</v>
      </c>
      <c r="I47" s="83">
        <f t="shared" si="91"/>
        <v>2024</v>
      </c>
      <c r="J47" s="83">
        <f t="shared" si="91"/>
        <v>2025</v>
      </c>
      <c r="K47" s="83">
        <f t="shared" si="91"/>
        <v>2026</v>
      </c>
      <c r="L47" s="83">
        <f t="shared" si="91"/>
        <v>2027</v>
      </c>
      <c r="M47" s="83">
        <f t="shared" si="91"/>
        <v>2028</v>
      </c>
      <c r="N47" s="83">
        <f t="shared" si="91"/>
        <v>2029</v>
      </c>
      <c r="O47" s="83">
        <f t="shared" si="91"/>
        <v>2030</v>
      </c>
      <c r="P47" s="83">
        <f t="shared" si="91"/>
        <v>2031</v>
      </c>
      <c r="Q47" s="83">
        <f t="shared" si="91"/>
        <v>2032</v>
      </c>
      <c r="R47" s="83">
        <f t="shared" si="91"/>
        <v>2033</v>
      </c>
      <c r="S47" s="83">
        <f t="shared" si="91"/>
        <v>2034</v>
      </c>
      <c r="T47" s="83">
        <f t="shared" si="91"/>
        <v>2035</v>
      </c>
      <c r="U47" s="83">
        <f t="shared" si="91"/>
        <v>2036</v>
      </c>
      <c r="V47" s="83">
        <f t="shared" si="91"/>
        <v>2037</v>
      </c>
      <c r="W47" s="83">
        <f t="shared" ref="W47:X47" si="92">W9</f>
        <v>2038</v>
      </c>
      <c r="X47" s="83">
        <f t="shared" si="92"/>
        <v>2039</v>
      </c>
    </row>
    <row r="48" spans="1:24" x14ac:dyDescent="0.2">
      <c r="A48" s="45" t="s">
        <v>82</v>
      </c>
      <c r="B48" s="45"/>
      <c r="C48" s="45"/>
      <c r="D48" s="45"/>
      <c r="E48" s="143">
        <f t="shared" ref="E48:V48" si="93">E39</f>
        <v>249.07822748206678</v>
      </c>
      <c r="F48" s="143">
        <f t="shared" si="93"/>
        <v>747.2346824462004</v>
      </c>
      <c r="G48" s="143">
        <f t="shared" si="93"/>
        <v>1245.3911374103341</v>
      </c>
      <c r="H48" s="143">
        <f t="shared" si="93"/>
        <v>1743.5475923744675</v>
      </c>
      <c r="I48" s="143">
        <f t="shared" si="93"/>
        <v>2241.704047338601</v>
      </c>
      <c r="J48" s="143">
        <f t="shared" si="93"/>
        <v>2739.8605023027344</v>
      </c>
      <c r="K48" s="143">
        <f t="shared" si="93"/>
        <v>3238.0169572668678</v>
      </c>
      <c r="L48" s="143">
        <f t="shared" si="93"/>
        <v>3736.1734122310013</v>
      </c>
      <c r="M48" s="143">
        <f t="shared" si="93"/>
        <v>4234.3298671951352</v>
      </c>
      <c r="N48" s="143">
        <f t="shared" si="93"/>
        <v>4732.4863221592686</v>
      </c>
      <c r="O48" s="143">
        <f t="shared" si="93"/>
        <v>5230.6427771234021</v>
      </c>
      <c r="P48" s="143">
        <f t="shared" si="93"/>
        <v>5728.7992320875355</v>
      </c>
      <c r="Q48" s="143">
        <f t="shared" si="93"/>
        <v>6226.955687051669</v>
      </c>
      <c r="R48" s="143">
        <f t="shared" si="93"/>
        <v>6725.1121420158024</v>
      </c>
      <c r="S48" s="143">
        <f t="shared" si="93"/>
        <v>7223.2685969799359</v>
      </c>
      <c r="T48" s="143">
        <f t="shared" si="93"/>
        <v>7721.4250519440693</v>
      </c>
      <c r="U48" s="143">
        <f t="shared" si="93"/>
        <v>8219.5815069082037</v>
      </c>
      <c r="V48" s="143">
        <f t="shared" si="93"/>
        <v>8717.7379618723371</v>
      </c>
      <c r="W48" s="143">
        <f t="shared" ref="W48:X48" si="94">W39</f>
        <v>9215.8944168364706</v>
      </c>
      <c r="X48" s="143">
        <f t="shared" si="94"/>
        <v>9714.050871800604</v>
      </c>
    </row>
    <row r="49" spans="1:24" x14ac:dyDescent="0.2">
      <c r="A49" s="45" t="s">
        <v>135</v>
      </c>
      <c r="B49" s="45"/>
      <c r="C49" s="45"/>
      <c r="D49" s="45"/>
      <c r="E49" s="143">
        <f t="shared" ref="E49:V49" si="95">-E45</f>
        <v>-3.7979892825851547</v>
      </c>
      <c r="F49" s="143">
        <f t="shared" si="95"/>
        <v>-18.989946412925775</v>
      </c>
      <c r="G49" s="143">
        <f t="shared" si="95"/>
        <v>-49.373860673607012</v>
      </c>
      <c r="H49" s="143">
        <f t="shared" si="95"/>
        <v>-94.949732064628876</v>
      </c>
      <c r="I49" s="143">
        <f t="shared" si="95"/>
        <v>-155.71756058599135</v>
      </c>
      <c r="J49" s="143">
        <f t="shared" si="95"/>
        <v>-231.67734623769439</v>
      </c>
      <c r="K49" s="143">
        <f t="shared" si="95"/>
        <v>-322.82908901973809</v>
      </c>
      <c r="L49" s="143">
        <f t="shared" si="95"/>
        <v>-429.17278893212239</v>
      </c>
      <c r="M49" s="143">
        <f t="shared" si="95"/>
        <v>-550.70844597484734</v>
      </c>
      <c r="N49" s="143">
        <f t="shared" si="95"/>
        <v>-687.43606014791283</v>
      </c>
      <c r="O49" s="143">
        <f t="shared" si="95"/>
        <v>-839.35563145131903</v>
      </c>
      <c r="P49" s="143">
        <f t="shared" si="95"/>
        <v>-1006.4671598850658</v>
      </c>
      <c r="Q49" s="143">
        <f t="shared" si="95"/>
        <v>-1188.7706454491531</v>
      </c>
      <c r="R49" s="143">
        <f t="shared" si="95"/>
        <v>-1386.2660881435813</v>
      </c>
      <c r="S49" s="143">
        <f t="shared" si="95"/>
        <v>-1598.9534879683497</v>
      </c>
      <c r="T49" s="143">
        <f t="shared" si="95"/>
        <v>-1826.8328449234591</v>
      </c>
      <c r="U49" s="143">
        <f t="shared" si="95"/>
        <v>-2069.9041590089091</v>
      </c>
      <c r="V49" s="143">
        <f t="shared" si="95"/>
        <v>-2328.1674302246993</v>
      </c>
      <c r="W49" s="143">
        <f t="shared" ref="W49:X49" si="96">-W45</f>
        <v>-2601.6226585708309</v>
      </c>
      <c r="X49" s="143">
        <f t="shared" si="96"/>
        <v>-2890.2698440473023</v>
      </c>
    </row>
    <row r="50" spans="1:24" x14ac:dyDescent="0.2">
      <c r="A50" s="41" t="s">
        <v>83</v>
      </c>
      <c r="B50" s="41"/>
      <c r="C50" s="41"/>
      <c r="D50" s="41"/>
      <c r="E50" s="147">
        <f t="shared" ref="E50:V50" si="97">SUM(E48:E49)</f>
        <v>245.28023819948163</v>
      </c>
      <c r="F50" s="147">
        <f t="shared" si="97"/>
        <v>728.24473603327465</v>
      </c>
      <c r="G50" s="147">
        <f t="shared" si="97"/>
        <v>1196.0172767367271</v>
      </c>
      <c r="H50" s="147">
        <f t="shared" si="97"/>
        <v>1648.5978603098386</v>
      </c>
      <c r="I50" s="147">
        <f t="shared" si="97"/>
        <v>2085.9864867526094</v>
      </c>
      <c r="J50" s="147">
        <f t="shared" si="97"/>
        <v>2508.1831560650398</v>
      </c>
      <c r="K50" s="147">
        <f t="shared" si="97"/>
        <v>2915.1878682471297</v>
      </c>
      <c r="L50" s="147">
        <f t="shared" si="97"/>
        <v>3307.000623298879</v>
      </c>
      <c r="M50" s="147">
        <f t="shared" si="97"/>
        <v>3683.6214212202876</v>
      </c>
      <c r="N50" s="147">
        <f t="shared" si="97"/>
        <v>4045.0502620113557</v>
      </c>
      <c r="O50" s="147">
        <f t="shared" si="97"/>
        <v>4391.2871456720832</v>
      </c>
      <c r="P50" s="147">
        <f t="shared" si="97"/>
        <v>4722.33207220247</v>
      </c>
      <c r="Q50" s="147">
        <f t="shared" si="97"/>
        <v>5038.1850416025154</v>
      </c>
      <c r="R50" s="147">
        <f t="shared" si="97"/>
        <v>5338.8460538722211</v>
      </c>
      <c r="S50" s="147">
        <f t="shared" si="97"/>
        <v>5624.3151090115862</v>
      </c>
      <c r="T50" s="147">
        <f t="shared" si="97"/>
        <v>5894.5922070206107</v>
      </c>
      <c r="U50" s="147">
        <f t="shared" si="97"/>
        <v>6149.6773478992945</v>
      </c>
      <c r="V50" s="147">
        <f t="shared" si="97"/>
        <v>6389.5705316476378</v>
      </c>
      <c r="W50" s="147">
        <f t="shared" ref="W50:X50" si="98">SUM(W48:W49)</f>
        <v>6614.2717582656396</v>
      </c>
      <c r="X50" s="147">
        <f t="shared" si="98"/>
        <v>6823.7810277533017</v>
      </c>
    </row>
    <row r="51" spans="1:24" x14ac:dyDescent="0.2">
      <c r="A51" s="31" t="s">
        <v>4</v>
      </c>
      <c r="B51" s="31"/>
      <c r="C51" s="31"/>
      <c r="D51" s="31"/>
      <c r="E51" s="39"/>
      <c r="F51" s="39"/>
      <c r="G51" s="39"/>
      <c r="H51" s="39"/>
      <c r="I51" s="39"/>
      <c r="J51" s="39"/>
      <c r="K51" s="39"/>
      <c r="L51" s="39"/>
      <c r="M51" s="39"/>
      <c r="N51" s="39"/>
      <c r="O51" s="39"/>
      <c r="P51" s="39"/>
      <c r="Q51" s="39"/>
      <c r="R51" s="39"/>
      <c r="S51" s="39"/>
      <c r="T51" s="39"/>
      <c r="U51" s="39"/>
      <c r="V51" s="39"/>
      <c r="W51" s="39"/>
      <c r="X51" s="39"/>
    </row>
    <row r="52" spans="1:24" x14ac:dyDescent="0.2">
      <c r="A52" s="83" t="s">
        <v>84</v>
      </c>
      <c r="B52" s="83"/>
      <c r="C52" s="83"/>
      <c r="D52" s="83"/>
      <c r="E52" s="83">
        <f t="shared" ref="E52:V52" si="99">E9</f>
        <v>2020</v>
      </c>
      <c r="F52" s="83">
        <f t="shared" si="99"/>
        <v>2021</v>
      </c>
      <c r="G52" s="83">
        <f t="shared" si="99"/>
        <v>2022</v>
      </c>
      <c r="H52" s="83">
        <f t="shared" si="99"/>
        <v>2023</v>
      </c>
      <c r="I52" s="83">
        <f t="shared" si="99"/>
        <v>2024</v>
      </c>
      <c r="J52" s="83">
        <f t="shared" si="99"/>
        <v>2025</v>
      </c>
      <c r="K52" s="83">
        <f t="shared" si="99"/>
        <v>2026</v>
      </c>
      <c r="L52" s="83">
        <f t="shared" si="99"/>
        <v>2027</v>
      </c>
      <c r="M52" s="83">
        <f t="shared" si="99"/>
        <v>2028</v>
      </c>
      <c r="N52" s="83">
        <f t="shared" si="99"/>
        <v>2029</v>
      </c>
      <c r="O52" s="83">
        <f t="shared" si="99"/>
        <v>2030</v>
      </c>
      <c r="P52" s="83">
        <f t="shared" si="99"/>
        <v>2031</v>
      </c>
      <c r="Q52" s="83">
        <f t="shared" si="99"/>
        <v>2032</v>
      </c>
      <c r="R52" s="83">
        <f t="shared" si="99"/>
        <v>2033</v>
      </c>
      <c r="S52" s="83">
        <f t="shared" si="99"/>
        <v>2034</v>
      </c>
      <c r="T52" s="83">
        <f t="shared" si="99"/>
        <v>2035</v>
      </c>
      <c r="U52" s="83">
        <f t="shared" si="99"/>
        <v>2036</v>
      </c>
      <c r="V52" s="83">
        <f t="shared" si="99"/>
        <v>2037</v>
      </c>
      <c r="W52" s="83">
        <f t="shared" ref="W52:X52" si="100">W9</f>
        <v>2038</v>
      </c>
      <c r="X52" s="83">
        <f t="shared" si="100"/>
        <v>2039</v>
      </c>
    </row>
    <row r="53" spans="1:24" x14ac:dyDescent="0.2">
      <c r="A53" s="45" t="s">
        <v>86</v>
      </c>
      <c r="B53" s="45"/>
      <c r="C53" s="45"/>
      <c r="D53" s="45"/>
      <c r="E53" s="143">
        <f t="shared" ref="E53:V53" si="101">E32</f>
        <v>7.7140634913736976</v>
      </c>
      <c r="F53" s="143">
        <f t="shared" si="101"/>
        <v>22.903296948246492</v>
      </c>
      <c r="G53" s="143">
        <f t="shared" si="101"/>
        <v>37.614743353370073</v>
      </c>
      <c r="H53" s="143">
        <f t="shared" si="101"/>
        <v>51.84840270674443</v>
      </c>
      <c r="I53" s="143">
        <f t="shared" si="101"/>
        <v>65.604275008369569</v>
      </c>
      <c r="J53" s="143">
        <f t="shared" si="101"/>
        <v>78.882360258245512</v>
      </c>
      <c r="K53" s="143">
        <f t="shared" si="101"/>
        <v>91.682658456372224</v>
      </c>
      <c r="L53" s="143">
        <f t="shared" si="101"/>
        <v>104.00516960274975</v>
      </c>
      <c r="M53" s="143">
        <f t="shared" si="101"/>
        <v>115.84989369737805</v>
      </c>
      <c r="N53" s="143">
        <f t="shared" si="101"/>
        <v>127.21683074025715</v>
      </c>
      <c r="O53" s="143">
        <f t="shared" si="101"/>
        <v>138.10598073138704</v>
      </c>
      <c r="P53" s="143">
        <f t="shared" si="101"/>
        <v>148.51734367076767</v>
      </c>
      <c r="Q53" s="143">
        <f t="shared" si="101"/>
        <v>158.45091955839911</v>
      </c>
      <c r="R53" s="143">
        <f t="shared" si="101"/>
        <v>167.90670839428137</v>
      </c>
      <c r="S53" s="143">
        <f t="shared" si="101"/>
        <v>176.88471017841439</v>
      </c>
      <c r="T53" s="143">
        <f t="shared" si="101"/>
        <v>185.38492491079819</v>
      </c>
      <c r="U53" s="143">
        <f t="shared" si="101"/>
        <v>193.40735259143281</v>
      </c>
      <c r="V53" s="143">
        <f t="shared" si="101"/>
        <v>200.9519932203182</v>
      </c>
      <c r="W53" s="143">
        <f t="shared" ref="W53:X53" si="102">W32</f>
        <v>208.01884679745436</v>
      </c>
      <c r="X53" s="143">
        <f t="shared" si="102"/>
        <v>214.60791332284134</v>
      </c>
    </row>
    <row r="54" spans="1:24" x14ac:dyDescent="0.2">
      <c r="A54" s="45" t="s">
        <v>5</v>
      </c>
      <c r="B54" s="45"/>
      <c r="C54" s="45"/>
      <c r="D54" s="45"/>
      <c r="E54" s="143">
        <f t="shared" ref="E54:V54" si="103">E53/(1-E12)</f>
        <v>10.567210262155751</v>
      </c>
      <c r="F54" s="143">
        <f t="shared" si="103"/>
        <v>31.374379381159578</v>
      </c>
      <c r="G54" s="143">
        <f t="shared" si="103"/>
        <v>51.527045689548046</v>
      </c>
      <c r="H54" s="143">
        <f t="shared" si="103"/>
        <v>71.025209187321138</v>
      </c>
      <c r="I54" s="143">
        <f t="shared" si="103"/>
        <v>89.868869874478861</v>
      </c>
      <c r="J54" s="143">
        <f t="shared" si="103"/>
        <v>108.05802775102126</v>
      </c>
      <c r="K54" s="143">
        <f t="shared" si="103"/>
        <v>125.59268281694825</v>
      </c>
      <c r="L54" s="143">
        <f t="shared" si="103"/>
        <v>142.47283507225993</v>
      </c>
      <c r="M54" s="143">
        <f t="shared" si="103"/>
        <v>158.69848451695623</v>
      </c>
      <c r="N54" s="143">
        <f t="shared" si="103"/>
        <v>174.2696311510372</v>
      </c>
      <c r="O54" s="143">
        <f t="shared" si="103"/>
        <v>189.18627497450279</v>
      </c>
      <c r="P54" s="143">
        <f t="shared" si="103"/>
        <v>203.44841598735297</v>
      </c>
      <c r="Q54" s="143">
        <f t="shared" si="103"/>
        <v>217.05605418958783</v>
      </c>
      <c r="R54" s="143">
        <f t="shared" si="103"/>
        <v>230.00918958120735</v>
      </c>
      <c r="S54" s="143">
        <f t="shared" si="103"/>
        <v>242.30782216221149</v>
      </c>
      <c r="T54" s="143">
        <f t="shared" si="103"/>
        <v>253.95195193260028</v>
      </c>
      <c r="U54" s="143">
        <f t="shared" si="103"/>
        <v>264.94157889237374</v>
      </c>
      <c r="V54" s="143">
        <f t="shared" si="103"/>
        <v>275.27670304153179</v>
      </c>
      <c r="W54" s="143">
        <f t="shared" ref="W54:X54" si="104">W53/(1-W12)</f>
        <v>284.95732438007445</v>
      </c>
      <c r="X54" s="143">
        <f t="shared" si="104"/>
        <v>293.98344290800185</v>
      </c>
    </row>
    <row r="55" spans="1:24" x14ac:dyDescent="0.2">
      <c r="A55" s="45" t="s">
        <v>6</v>
      </c>
      <c r="B55" s="45"/>
      <c r="C55" s="45"/>
      <c r="D55" s="45"/>
      <c r="E55" s="143">
        <f t="shared" ref="E55:V55" si="105">E54*E12</f>
        <v>2.853146770782053</v>
      </c>
      <c r="F55" s="143">
        <f t="shared" si="105"/>
        <v>8.4710824329130858</v>
      </c>
      <c r="G55" s="143">
        <f t="shared" si="105"/>
        <v>13.912302336177973</v>
      </c>
      <c r="H55" s="143">
        <f t="shared" si="105"/>
        <v>19.176806480576708</v>
      </c>
      <c r="I55" s="143">
        <f t="shared" si="105"/>
        <v>24.264594866109295</v>
      </c>
      <c r="J55" s="143">
        <f t="shared" si="105"/>
        <v>29.175667492775741</v>
      </c>
      <c r="K55" s="143">
        <f t="shared" si="105"/>
        <v>33.910024360576031</v>
      </c>
      <c r="L55" s="143">
        <f t="shared" si="105"/>
        <v>38.46766546951018</v>
      </c>
      <c r="M55" s="143">
        <f t="shared" si="105"/>
        <v>42.848590819578185</v>
      </c>
      <c r="N55" s="143">
        <f t="shared" si="105"/>
        <v>47.052800410780051</v>
      </c>
      <c r="O55" s="143">
        <f t="shared" si="105"/>
        <v>51.080294243115759</v>
      </c>
      <c r="P55" s="143">
        <f t="shared" si="105"/>
        <v>54.931072316585308</v>
      </c>
      <c r="Q55" s="143">
        <f t="shared" si="105"/>
        <v>58.605134631188719</v>
      </c>
      <c r="R55" s="143">
        <f t="shared" si="105"/>
        <v>62.102481186925992</v>
      </c>
      <c r="S55" s="143">
        <f t="shared" si="105"/>
        <v>65.423111983797114</v>
      </c>
      <c r="T55" s="143">
        <f t="shared" si="105"/>
        <v>68.567027021802076</v>
      </c>
      <c r="U55" s="143">
        <f t="shared" si="105"/>
        <v>71.534226300940915</v>
      </c>
      <c r="V55" s="143">
        <f t="shared" si="105"/>
        <v>74.324709821213588</v>
      </c>
      <c r="W55" s="143">
        <f t="shared" ref="W55:X55" si="106">W54*W12</f>
        <v>76.938477582620109</v>
      </c>
      <c r="X55" s="143">
        <f t="shared" si="106"/>
        <v>79.375529585160507</v>
      </c>
    </row>
  </sheetData>
  <pageMargins left="0.5" right="0.5" top="0.75" bottom="0.75" header="0.5" footer="0.25"/>
  <pageSetup paperSize="17"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25"/>
  <sheetViews>
    <sheetView showGridLines="0" zoomScale="110" zoomScaleNormal="110" workbookViewId="0">
      <selection activeCell="A12" sqref="A12"/>
    </sheetView>
  </sheetViews>
  <sheetFormatPr defaultColWidth="10.7109375" defaultRowHeight="12.75" x14ac:dyDescent="0.2"/>
  <cols>
    <col min="1" max="1" width="15.5703125" style="25" customWidth="1"/>
    <col min="2" max="9" width="10.7109375" style="175"/>
    <col min="10" max="14" width="10.7109375" style="175" customWidth="1"/>
    <col min="15" max="15" width="10.7109375" style="175"/>
    <col min="16" max="19" width="10.7109375" style="176"/>
    <col min="20" max="16384" width="10.7109375" style="28"/>
  </cols>
  <sheetData>
    <row r="1" spans="1:21" s="25" customFormat="1" x14ac:dyDescent="0.2">
      <c r="A1" s="24" t="str">
        <f>Assumptions!A1</f>
        <v>Alberta Electric System Operator</v>
      </c>
      <c r="B1" s="174"/>
      <c r="C1" s="174"/>
      <c r="D1" s="174"/>
      <c r="E1" s="174"/>
      <c r="F1" s="174"/>
      <c r="G1" s="174"/>
      <c r="H1" s="174"/>
      <c r="I1" s="174"/>
      <c r="J1" s="174"/>
      <c r="K1" s="174"/>
      <c r="L1" s="175"/>
      <c r="M1" s="175"/>
      <c r="N1" s="175"/>
      <c r="O1" s="175"/>
      <c r="P1" s="175"/>
      <c r="Q1" s="175"/>
      <c r="R1" s="175"/>
      <c r="S1" s="175"/>
    </row>
    <row r="2" spans="1:21" s="25" customFormat="1" x14ac:dyDescent="0.2">
      <c r="A2" s="24" t="str">
        <f>Assumptions!A2</f>
        <v>Preliminary rates and bill projections</v>
      </c>
      <c r="B2" s="174"/>
      <c r="C2" s="174"/>
      <c r="D2" s="174"/>
      <c r="E2" s="174"/>
      <c r="F2" s="174"/>
      <c r="G2" s="174"/>
      <c r="H2" s="174"/>
      <c r="I2" s="174"/>
      <c r="J2" s="174"/>
      <c r="K2" s="174"/>
      <c r="L2" s="175"/>
      <c r="M2" s="175"/>
      <c r="N2" s="175"/>
      <c r="O2" s="175"/>
      <c r="P2" s="175"/>
      <c r="Q2" s="175"/>
      <c r="R2" s="175"/>
      <c r="S2" s="175"/>
    </row>
    <row r="3" spans="1:21" s="25" customFormat="1" x14ac:dyDescent="0.2">
      <c r="A3" s="24" t="str">
        <f>Assumptions!A3</f>
        <v>For discussion purposes</v>
      </c>
      <c r="B3" s="174"/>
      <c r="C3" s="174"/>
      <c r="D3" s="174"/>
      <c r="E3" s="174"/>
      <c r="F3" s="174"/>
      <c r="G3" s="174"/>
      <c r="H3" s="174"/>
      <c r="I3" s="174"/>
      <c r="J3" s="174"/>
      <c r="K3" s="174"/>
      <c r="L3" s="175"/>
      <c r="M3" s="175"/>
      <c r="N3" s="175"/>
      <c r="O3" s="175"/>
      <c r="P3" s="175"/>
      <c r="Q3" s="175"/>
      <c r="R3" s="175"/>
      <c r="S3" s="175"/>
    </row>
    <row r="4" spans="1:21" s="25" customFormat="1" x14ac:dyDescent="0.2">
      <c r="A4" s="24" t="str">
        <f>Assumptions!A4</f>
        <v>Version 1.0-Conceptual dated March 12, 2020</v>
      </c>
      <c r="B4" s="174"/>
      <c r="C4" s="174"/>
      <c r="D4" s="174"/>
      <c r="E4" s="174"/>
      <c r="F4" s="174"/>
      <c r="G4" s="174"/>
      <c r="H4" s="174"/>
      <c r="I4" s="174"/>
      <c r="J4" s="174"/>
      <c r="K4" s="174"/>
      <c r="L4" s="175"/>
      <c r="M4" s="175"/>
      <c r="N4" s="175"/>
      <c r="O4" s="175"/>
      <c r="P4" s="175"/>
      <c r="Q4" s="175"/>
      <c r="R4" s="175"/>
      <c r="S4" s="175"/>
    </row>
    <row r="5" spans="1:21" s="25" customFormat="1" x14ac:dyDescent="0.2">
      <c r="A5" s="24" t="s">
        <v>191</v>
      </c>
      <c r="B5" s="174"/>
      <c r="C5" s="174"/>
      <c r="D5" s="174"/>
      <c r="E5" s="174"/>
      <c r="F5" s="174"/>
      <c r="G5" s="174"/>
      <c r="H5" s="174"/>
      <c r="I5" s="174"/>
      <c r="J5" s="174"/>
      <c r="K5" s="174"/>
      <c r="L5" s="175"/>
      <c r="M5" s="175"/>
      <c r="N5" s="175"/>
      <c r="O5" s="175"/>
      <c r="P5" s="175"/>
      <c r="Q5" s="175"/>
      <c r="R5" s="175"/>
      <c r="S5" s="175"/>
    </row>
    <row r="7" spans="1:21" x14ac:dyDescent="0.2">
      <c r="A7" s="29" t="s">
        <v>233</v>
      </c>
      <c r="B7" s="177"/>
      <c r="C7" s="177"/>
      <c r="D7" s="177"/>
      <c r="E7" s="177"/>
      <c r="F7" s="177"/>
      <c r="G7" s="177"/>
      <c r="H7" s="177"/>
      <c r="I7" s="177"/>
      <c r="J7" s="177"/>
      <c r="K7" s="177"/>
      <c r="L7" s="178"/>
      <c r="M7" s="178"/>
      <c r="N7" s="178"/>
      <c r="O7" s="178"/>
      <c r="P7" s="178"/>
      <c r="Q7" s="178"/>
      <c r="R7" s="178"/>
      <c r="S7" s="178"/>
      <c r="T7" s="178"/>
      <c r="U7" s="178"/>
    </row>
    <row r="8" spans="1:21" x14ac:dyDescent="0.2">
      <c r="A8" s="30"/>
      <c r="N8" s="176"/>
      <c r="O8" s="176"/>
      <c r="R8" s="28"/>
      <c r="S8" s="28"/>
    </row>
    <row r="9" spans="1:21" x14ac:dyDescent="0.2">
      <c r="A9" s="246" t="s">
        <v>193</v>
      </c>
      <c r="B9" s="243">
        <v>2020</v>
      </c>
      <c r="C9" s="243">
        <f t="shared" ref="C9:Q9" si="0">B9+1</f>
        <v>2021</v>
      </c>
      <c r="D9" s="243">
        <f t="shared" si="0"/>
        <v>2022</v>
      </c>
      <c r="E9" s="243">
        <f t="shared" si="0"/>
        <v>2023</v>
      </c>
      <c r="F9" s="243">
        <f t="shared" si="0"/>
        <v>2024</v>
      </c>
      <c r="G9" s="243">
        <f t="shared" si="0"/>
        <v>2025</v>
      </c>
      <c r="H9" s="243">
        <f t="shared" si="0"/>
        <v>2026</v>
      </c>
      <c r="I9" s="243">
        <f t="shared" si="0"/>
        <v>2027</v>
      </c>
      <c r="J9" s="243">
        <f t="shared" si="0"/>
        <v>2028</v>
      </c>
      <c r="K9" s="243">
        <f t="shared" si="0"/>
        <v>2029</v>
      </c>
      <c r="L9" s="243">
        <f t="shared" si="0"/>
        <v>2030</v>
      </c>
      <c r="M9" s="243">
        <f t="shared" si="0"/>
        <v>2031</v>
      </c>
      <c r="N9" s="243">
        <f t="shared" si="0"/>
        <v>2032</v>
      </c>
      <c r="O9" s="243">
        <f t="shared" si="0"/>
        <v>2033</v>
      </c>
      <c r="P9" s="243">
        <f t="shared" si="0"/>
        <v>2034</v>
      </c>
      <c r="Q9" s="243">
        <f t="shared" si="0"/>
        <v>2035</v>
      </c>
      <c r="R9" s="243">
        <f t="shared" ref="R9" si="1">Q9+1</f>
        <v>2036</v>
      </c>
      <c r="S9" s="243">
        <f t="shared" ref="S9" si="2">R9+1</f>
        <v>2037</v>
      </c>
      <c r="T9" s="243">
        <f t="shared" ref="T9" si="3">S9+1</f>
        <v>2038</v>
      </c>
      <c r="U9" s="243">
        <f t="shared" ref="U9" si="4">T9+1</f>
        <v>2039</v>
      </c>
    </row>
    <row r="10" spans="1:21" ht="13.15" customHeight="1" x14ac:dyDescent="0.2">
      <c r="A10" s="248" t="s">
        <v>190</v>
      </c>
      <c r="B10" s="312">
        <v>0</v>
      </c>
      <c r="C10" s="312">
        <v>101.7</v>
      </c>
      <c r="D10" s="312">
        <v>0</v>
      </c>
      <c r="E10" s="312">
        <v>256</v>
      </c>
      <c r="F10" s="312">
        <v>1386</v>
      </c>
      <c r="G10" s="312">
        <v>77.2</v>
      </c>
      <c r="H10" s="312">
        <v>77.2</v>
      </c>
      <c r="I10" s="312">
        <v>77.2</v>
      </c>
      <c r="J10" s="312">
        <v>77.2</v>
      </c>
      <c r="K10" s="312">
        <v>77.2</v>
      </c>
      <c r="L10" s="312">
        <v>11.6</v>
      </c>
      <c r="M10" s="312">
        <v>11.6</v>
      </c>
      <c r="N10" s="312">
        <v>11.6</v>
      </c>
      <c r="O10" s="312">
        <v>11.6</v>
      </c>
      <c r="P10" s="312">
        <v>11.6</v>
      </c>
      <c r="Q10" s="312">
        <v>0</v>
      </c>
      <c r="R10" s="312">
        <v>0</v>
      </c>
      <c r="S10" s="312">
        <v>0</v>
      </c>
      <c r="T10" s="312">
        <v>0</v>
      </c>
      <c r="U10" s="312">
        <v>0</v>
      </c>
    </row>
    <row r="11" spans="1:21" ht="13.15" customHeight="1" x14ac:dyDescent="0.2">
      <c r="A11" s="331" t="s">
        <v>351</v>
      </c>
      <c r="B11" s="332"/>
      <c r="C11" s="332"/>
      <c r="D11" s="332"/>
      <c r="E11" s="332"/>
      <c r="F11" s="332"/>
      <c r="G11" s="332"/>
      <c r="H11" s="332"/>
      <c r="I11" s="332"/>
      <c r="J11" s="332"/>
      <c r="K11" s="332"/>
      <c r="L11" s="332"/>
      <c r="M11" s="332"/>
      <c r="N11" s="332"/>
      <c r="O11" s="332"/>
      <c r="P11" s="332"/>
      <c r="Q11" s="332"/>
      <c r="R11" s="332"/>
      <c r="S11" s="332"/>
      <c r="T11" s="332"/>
      <c r="U11" s="332"/>
    </row>
    <row r="12" spans="1:21" s="170" customFormat="1" x14ac:dyDescent="0.2">
      <c r="A12" s="171"/>
      <c r="B12" s="313"/>
      <c r="C12" s="313"/>
      <c r="D12" s="313"/>
      <c r="E12" s="313"/>
      <c r="F12" s="313"/>
      <c r="G12" s="313"/>
      <c r="H12" s="313"/>
      <c r="I12" s="313"/>
      <c r="J12" s="313"/>
      <c r="K12" s="313"/>
      <c r="L12" s="313"/>
      <c r="M12" s="313"/>
      <c r="N12" s="313"/>
      <c r="O12" s="313"/>
      <c r="P12" s="313"/>
      <c r="Q12" s="313"/>
      <c r="R12" s="314"/>
      <c r="S12" s="314"/>
      <c r="T12" s="314"/>
      <c r="U12" s="314"/>
    </row>
    <row r="13" spans="1:21" x14ac:dyDescent="0.2">
      <c r="A13" s="29" t="s">
        <v>234</v>
      </c>
      <c r="B13" s="315"/>
      <c r="C13" s="315"/>
      <c r="D13" s="315"/>
      <c r="E13" s="315"/>
      <c r="F13" s="315"/>
      <c r="G13" s="315"/>
      <c r="H13" s="315"/>
      <c r="I13" s="315"/>
      <c r="J13" s="316"/>
      <c r="K13" s="316"/>
      <c r="L13" s="316"/>
      <c r="M13" s="316"/>
      <c r="N13" s="316"/>
      <c r="O13" s="316"/>
      <c r="P13" s="316"/>
      <c r="Q13" s="316"/>
      <c r="R13" s="316"/>
      <c r="S13" s="316"/>
      <c r="T13" s="316"/>
      <c r="U13" s="316"/>
    </row>
    <row r="14" spans="1:21" s="27" customFormat="1" x14ac:dyDescent="0.2">
      <c r="A14" s="26"/>
      <c r="B14" s="317"/>
      <c r="C14" s="317"/>
      <c r="D14" s="317"/>
      <c r="E14" s="317"/>
      <c r="F14" s="317"/>
      <c r="G14" s="317"/>
      <c r="H14" s="317"/>
      <c r="I14" s="317"/>
      <c r="J14" s="317"/>
      <c r="K14" s="318"/>
      <c r="L14" s="318"/>
      <c r="M14" s="318"/>
      <c r="N14" s="318"/>
      <c r="O14" s="318"/>
      <c r="P14" s="318"/>
      <c r="Q14" s="318"/>
      <c r="R14" s="319"/>
      <c r="S14" s="319"/>
      <c r="T14" s="319"/>
      <c r="U14" s="319"/>
    </row>
    <row r="15" spans="1:21" s="26" customFormat="1" x14ac:dyDescent="0.2">
      <c r="A15" s="241" t="s">
        <v>140</v>
      </c>
      <c r="B15" s="320"/>
      <c r="C15" s="320"/>
      <c r="D15" s="320"/>
      <c r="E15" s="320"/>
      <c r="F15" s="320"/>
      <c r="G15" s="320"/>
      <c r="H15" s="320"/>
      <c r="I15" s="320"/>
      <c r="J15" s="320"/>
      <c r="K15" s="320"/>
      <c r="L15" s="320"/>
      <c r="M15" s="320"/>
      <c r="N15" s="320"/>
      <c r="O15" s="320"/>
      <c r="P15" s="320"/>
      <c r="Q15" s="320"/>
      <c r="R15" s="321"/>
      <c r="S15" s="321"/>
      <c r="T15" s="321"/>
      <c r="U15" s="321"/>
    </row>
    <row r="16" spans="1:21" s="27" customFormat="1" x14ac:dyDescent="0.2">
      <c r="A16" s="26"/>
      <c r="B16" s="318"/>
      <c r="C16" s="318"/>
      <c r="D16" s="318"/>
      <c r="E16" s="318"/>
      <c r="F16" s="318"/>
      <c r="G16" s="318"/>
      <c r="H16" s="318"/>
      <c r="I16" s="318"/>
      <c r="J16" s="318"/>
      <c r="K16" s="318"/>
      <c r="L16" s="318"/>
      <c r="M16" s="318"/>
      <c r="N16" s="318"/>
      <c r="O16" s="318"/>
      <c r="P16" s="318"/>
      <c r="Q16" s="318"/>
      <c r="R16" s="319"/>
      <c r="S16" s="319"/>
      <c r="T16" s="319"/>
      <c r="U16" s="319"/>
    </row>
    <row r="17" spans="1:21" s="27" customFormat="1" x14ac:dyDescent="0.2">
      <c r="A17" s="247" t="s">
        <v>193</v>
      </c>
      <c r="B17" s="243">
        <f>B9</f>
        <v>2020</v>
      </c>
      <c r="C17" s="243">
        <f t="shared" ref="C17:Q17" si="5">B17+1</f>
        <v>2021</v>
      </c>
      <c r="D17" s="243">
        <f t="shared" si="5"/>
        <v>2022</v>
      </c>
      <c r="E17" s="243">
        <f t="shared" si="5"/>
        <v>2023</v>
      </c>
      <c r="F17" s="243">
        <f t="shared" si="5"/>
        <v>2024</v>
      </c>
      <c r="G17" s="243">
        <f t="shared" si="5"/>
        <v>2025</v>
      </c>
      <c r="H17" s="243">
        <f t="shared" si="5"/>
        <v>2026</v>
      </c>
      <c r="I17" s="243">
        <f t="shared" si="5"/>
        <v>2027</v>
      </c>
      <c r="J17" s="243">
        <f t="shared" si="5"/>
        <v>2028</v>
      </c>
      <c r="K17" s="243">
        <f t="shared" si="5"/>
        <v>2029</v>
      </c>
      <c r="L17" s="243">
        <f t="shared" si="5"/>
        <v>2030</v>
      </c>
      <c r="M17" s="243">
        <f t="shared" si="5"/>
        <v>2031</v>
      </c>
      <c r="N17" s="243">
        <f t="shared" si="5"/>
        <v>2032</v>
      </c>
      <c r="O17" s="243">
        <f t="shared" si="5"/>
        <v>2033</v>
      </c>
      <c r="P17" s="243">
        <f t="shared" si="5"/>
        <v>2034</v>
      </c>
      <c r="Q17" s="243">
        <f t="shared" si="5"/>
        <v>2035</v>
      </c>
      <c r="R17" s="243">
        <f t="shared" ref="R17" si="6">Q17+1</f>
        <v>2036</v>
      </c>
      <c r="S17" s="243">
        <f t="shared" ref="S17" si="7">R17+1</f>
        <v>2037</v>
      </c>
      <c r="T17" s="243">
        <f t="shared" ref="T17" si="8">S17+1</f>
        <v>2038</v>
      </c>
      <c r="U17" s="243">
        <f t="shared" ref="U17" si="9">T17+1</f>
        <v>2039</v>
      </c>
    </row>
    <row r="18" spans="1:21" s="27" customFormat="1" x14ac:dyDescent="0.2">
      <c r="A18" s="229" t="str">
        <f>A10</f>
        <v>MainOutlook</v>
      </c>
      <c r="B18" s="322">
        <f>B10*(1+Assumptions!$E$26)</f>
        <v>0</v>
      </c>
      <c r="C18" s="322">
        <f>C10*(1+Assumptions!$E$26)</f>
        <v>101.7</v>
      </c>
      <c r="D18" s="322">
        <f>D10*(1+Assumptions!$E$26)</f>
        <v>0</v>
      </c>
      <c r="E18" s="322">
        <f>E10*(1+Assumptions!$E$26)</f>
        <v>256</v>
      </c>
      <c r="F18" s="322">
        <f>F10*(1+Assumptions!$E$26)</f>
        <v>1386</v>
      </c>
      <c r="G18" s="322">
        <f>G10*(1+Assumptions!$F$26)</f>
        <v>77.2</v>
      </c>
      <c r="H18" s="322">
        <f>H10*(1+Assumptions!$F$26)</f>
        <v>77.2</v>
      </c>
      <c r="I18" s="322">
        <f>I10*(1+Assumptions!$F$26)</f>
        <v>77.2</v>
      </c>
      <c r="J18" s="322">
        <f>J10*(1+Assumptions!$F$26)</f>
        <v>77.2</v>
      </c>
      <c r="K18" s="322">
        <f>K10*(1+Assumptions!$F$26)</f>
        <v>77.2</v>
      </c>
      <c r="L18" s="322">
        <f>L10*(1+Assumptions!$F$26)</f>
        <v>11.6</v>
      </c>
      <c r="M18" s="322">
        <f>M10*(1+Assumptions!$F$26)</f>
        <v>11.6</v>
      </c>
      <c r="N18" s="322">
        <f>N10*(1+Assumptions!$F$26)</f>
        <v>11.6</v>
      </c>
      <c r="O18" s="322">
        <f>O10*(1+Assumptions!$F$26)</f>
        <v>11.6</v>
      </c>
      <c r="P18" s="322">
        <f>P10*(1+Assumptions!$F$26)</f>
        <v>11.6</v>
      </c>
      <c r="Q18" s="322">
        <f>Q10*(1+Assumptions!$F$26)</f>
        <v>0</v>
      </c>
      <c r="R18" s="322">
        <f>R10*(1+Assumptions!$F$26)</f>
        <v>0</v>
      </c>
      <c r="S18" s="322">
        <f>S10*(1+Assumptions!$F$26)</f>
        <v>0</v>
      </c>
      <c r="T18" s="322">
        <f>T10*(1+Assumptions!$F$26)</f>
        <v>0</v>
      </c>
      <c r="U18" s="322">
        <f>U10*(1+Assumptions!$F$26)</f>
        <v>0</v>
      </c>
    </row>
    <row r="19" spans="1:21" x14ac:dyDescent="0.2">
      <c r="A19" s="24"/>
      <c r="B19" s="318"/>
      <c r="C19" s="318"/>
      <c r="D19" s="318"/>
      <c r="E19" s="318"/>
      <c r="F19" s="318"/>
      <c r="G19" s="318"/>
      <c r="H19" s="318"/>
      <c r="I19" s="318"/>
      <c r="J19" s="323"/>
      <c r="K19" s="323"/>
      <c r="L19" s="323"/>
      <c r="M19" s="323"/>
      <c r="N19" s="324"/>
      <c r="O19" s="324"/>
      <c r="P19" s="324"/>
      <c r="Q19" s="324"/>
      <c r="R19" s="325"/>
      <c r="S19" s="325"/>
      <c r="T19" s="325"/>
      <c r="U19" s="325"/>
    </row>
    <row r="20" spans="1:21" x14ac:dyDescent="0.2">
      <c r="A20" s="29" t="s">
        <v>192</v>
      </c>
      <c r="B20" s="315"/>
      <c r="C20" s="315"/>
      <c r="D20" s="315"/>
      <c r="E20" s="315"/>
      <c r="F20" s="315"/>
      <c r="G20" s="315"/>
      <c r="H20" s="315"/>
      <c r="I20" s="315"/>
      <c r="J20" s="316"/>
      <c r="K20" s="316"/>
      <c r="L20" s="316"/>
      <c r="M20" s="316"/>
      <c r="N20" s="316"/>
      <c r="O20" s="316"/>
      <c r="P20" s="316"/>
      <c r="Q20" s="316"/>
      <c r="R20" s="316"/>
      <c r="S20" s="316"/>
      <c r="T20" s="316"/>
      <c r="U20" s="316"/>
    </row>
    <row r="21" spans="1:21" s="25" customFormat="1" x14ac:dyDescent="0.2">
      <c r="A21" s="31"/>
      <c r="B21" s="323"/>
      <c r="C21" s="323"/>
      <c r="D21" s="323"/>
      <c r="E21" s="323"/>
      <c r="F21" s="323"/>
      <c r="G21" s="323"/>
      <c r="H21" s="323"/>
      <c r="I21" s="323"/>
      <c r="J21" s="323"/>
      <c r="K21" s="323"/>
      <c r="L21" s="323"/>
      <c r="M21" s="323"/>
      <c r="N21" s="323"/>
      <c r="O21" s="323"/>
      <c r="P21" s="323"/>
      <c r="Q21" s="323"/>
      <c r="R21" s="326"/>
      <c r="S21" s="326"/>
      <c r="T21" s="326"/>
      <c r="U21" s="326"/>
    </row>
    <row r="22" spans="1:21" s="25" customFormat="1" x14ac:dyDescent="0.2">
      <c r="A22" s="247" t="s">
        <v>193</v>
      </c>
      <c r="B22" s="243">
        <f>B9</f>
        <v>2020</v>
      </c>
      <c r="C22" s="243">
        <f t="shared" ref="C22:Q22" si="10">B22+1</f>
        <v>2021</v>
      </c>
      <c r="D22" s="243">
        <f t="shared" si="10"/>
        <v>2022</v>
      </c>
      <c r="E22" s="243">
        <f t="shared" si="10"/>
        <v>2023</v>
      </c>
      <c r="F22" s="243">
        <f t="shared" si="10"/>
        <v>2024</v>
      </c>
      <c r="G22" s="243">
        <f t="shared" si="10"/>
        <v>2025</v>
      </c>
      <c r="H22" s="243">
        <f t="shared" si="10"/>
        <v>2026</v>
      </c>
      <c r="I22" s="243">
        <f t="shared" si="10"/>
        <v>2027</v>
      </c>
      <c r="J22" s="243">
        <f t="shared" si="10"/>
        <v>2028</v>
      </c>
      <c r="K22" s="243">
        <f t="shared" si="10"/>
        <v>2029</v>
      </c>
      <c r="L22" s="243">
        <f t="shared" si="10"/>
        <v>2030</v>
      </c>
      <c r="M22" s="243">
        <f t="shared" si="10"/>
        <v>2031</v>
      </c>
      <c r="N22" s="243">
        <f t="shared" si="10"/>
        <v>2032</v>
      </c>
      <c r="O22" s="243">
        <f t="shared" si="10"/>
        <v>2033</v>
      </c>
      <c r="P22" s="243">
        <f t="shared" si="10"/>
        <v>2034</v>
      </c>
      <c r="Q22" s="243">
        <f t="shared" si="10"/>
        <v>2035</v>
      </c>
      <c r="R22" s="243">
        <f t="shared" ref="R22" si="11">Q22+1</f>
        <v>2036</v>
      </c>
      <c r="S22" s="243">
        <f t="shared" ref="S22" si="12">R22+1</f>
        <v>2037</v>
      </c>
      <c r="T22" s="243">
        <f t="shared" ref="T22" si="13">S22+1</f>
        <v>2038</v>
      </c>
      <c r="U22" s="243">
        <f t="shared" ref="U22" si="14">T22+1</f>
        <v>2039</v>
      </c>
    </row>
    <row r="23" spans="1:21" s="27" customFormat="1" x14ac:dyDescent="0.2">
      <c r="A23" s="229" t="str">
        <f>A18</f>
        <v>MainOutlook</v>
      </c>
      <c r="B23" s="322">
        <f>B18</f>
        <v>0</v>
      </c>
      <c r="C23" s="322">
        <f>C18*(1+Assumptions!F66)</f>
        <v>104.47341213605198</v>
      </c>
      <c r="D23" s="322">
        <f>D18*(1+Assumptions!G66)</f>
        <v>0</v>
      </c>
      <c r="E23" s="322">
        <f>E18*(1+Assumptions!H66)</f>
        <v>275.49831032475328</v>
      </c>
      <c r="F23" s="322">
        <f>F18*(1+Assumptions!I66)</f>
        <v>1527.7182670139152</v>
      </c>
      <c r="G23" s="322">
        <f>G18*(1+Assumptions!J66)</f>
        <v>87.269177023092681</v>
      </c>
      <c r="H23" s="322">
        <f>H18*(1+Assumptions!K66)</f>
        <v>89.445814881623832</v>
      </c>
      <c r="I23" s="322">
        <f>I18*(1+Assumptions!L66)</f>
        <v>91.537464029802663</v>
      </c>
      <c r="J23" s="322">
        <f>J18*(1+Assumptions!M66)</f>
        <v>93.646002074133861</v>
      </c>
      <c r="K23" s="322">
        <f>K18*(1+Assumptions!N66)</f>
        <v>95.78844999919481</v>
      </c>
      <c r="L23" s="322">
        <f>L18*(1+Assumptions!O66)</f>
        <v>14.724591531441606</v>
      </c>
      <c r="M23" s="322">
        <f>M18*(1+Assumptions!P66)</f>
        <v>15.067726210141894</v>
      </c>
      <c r="N23" s="322">
        <f>N18*(1+Assumptions!Q66)</f>
        <v>15.422736137450773</v>
      </c>
      <c r="O23" s="322">
        <f>O18*(1+Assumptions!R66)</f>
        <v>15.785447316933769</v>
      </c>
      <c r="P23" s="322">
        <f>P18*(1+Assumptions!S66)</f>
        <v>16.156438347550964</v>
      </c>
      <c r="Q23" s="322">
        <f>Q18*(1+Assumptions!T66)</f>
        <v>0</v>
      </c>
      <c r="R23" s="322">
        <f>R18*(1+Assumptions!U66)</f>
        <v>0</v>
      </c>
      <c r="S23" s="322">
        <f>S18*(1+Assumptions!V66)</f>
        <v>0</v>
      </c>
      <c r="T23" s="322">
        <f>T18*(1+Assumptions!W66)</f>
        <v>0</v>
      </c>
      <c r="U23" s="322">
        <f>U18*(1+Assumptions!X66)</f>
        <v>0</v>
      </c>
    </row>
    <row r="24" spans="1:21" x14ac:dyDescent="0.2">
      <c r="N24" s="176"/>
      <c r="O24" s="179"/>
      <c r="P24" s="179"/>
      <c r="Q24" s="179"/>
      <c r="R24" s="28"/>
      <c r="S24" s="28"/>
    </row>
    <row r="25" spans="1:21" x14ac:dyDescent="0.2">
      <c r="A25" s="28"/>
      <c r="O25" s="176"/>
      <c r="S25" s="28"/>
    </row>
  </sheetData>
  <phoneticPr fontId="6" type="noConversion"/>
  <pageMargins left="0.5" right="0.5" top="0.75" bottom="0.75" header="0.5" footer="0.25"/>
  <pageSetup paperSize="17" fitToHeight="0" orientation="landscape" r:id="rId1"/>
  <rowBreaks count="2" manualBreakCount="2">
    <brk id="12" max="16383" man="1"/>
    <brk id="19" max="16383" man="1"/>
  </rowBreaks>
  <extLst>
    <ext xmlns:x14="http://schemas.microsoft.com/office/spreadsheetml/2009/9/main" uri="{78C0D931-6437-407d-A8EE-F0AAD7539E65}">
      <x14:conditionalFormattings>
        <x14:conditionalFormatting xmlns:xm="http://schemas.microsoft.com/office/excel/2006/main">
          <x14:cfRule type="expression" priority="43" id="{E76E6F6D-F179-4EEC-BC36-56FD150B139A}">
            <xm:f>Assumptions!#REF!="LowGrowth"</xm:f>
            <x14:dxf>
              <fill>
                <patternFill patternType="lightUp"/>
              </fill>
            </x14:dxf>
          </x14:cfRule>
          <xm:sqref>A18:U18 A10:U10 A23:U23 B11:U11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8cc58af-7463-4eed-b705-ece9e5e95e1f" ContentTypeId="0x010100DB7D67ABFDCD8849AA1AB921D07E8AB4"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F55288E8CAA3445B5605F8B0DBDE10E" ma:contentTypeVersion="0" ma:contentTypeDescription="Create a new document." ma:contentTypeScope="" ma:versionID="0a31ffca8091c4c5e45d7668b8b69c8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C3C52E-CEBF-466C-9615-9D5BA84F6BA6}">
  <ds:schemaRefs>
    <ds:schemaRef ds:uri="Microsoft.SharePoint.Taxonomy.ContentTypeSync"/>
  </ds:schemaRefs>
</ds:datastoreItem>
</file>

<file path=customXml/itemProps2.xml><?xml version="1.0" encoding="utf-8"?>
<ds:datastoreItem xmlns:ds="http://schemas.openxmlformats.org/officeDocument/2006/customXml" ds:itemID="{832462D7-F58E-410E-85BF-963174609A8B}"/>
</file>

<file path=customXml/itemProps3.xml><?xml version="1.0" encoding="utf-8"?>
<ds:datastoreItem xmlns:ds="http://schemas.openxmlformats.org/officeDocument/2006/customXml" ds:itemID="{2E0F7DBD-6928-4F10-942C-8C0F547CC281}">
  <ds:schemaRefs>
    <ds:schemaRef ds:uri="http://schemas.microsoft.com/office/2006/metadata/properties"/>
    <ds:schemaRef ds:uri="http://schemas.microsoft.com/office/infopath/2007/PartnerControls"/>
    <ds:schemaRef ds:uri="24b4dc9c-985f-4b06-881b-10995db5cfc7"/>
    <ds:schemaRef ds:uri="c396903c-eb40-4742-9f08-57bf89a1e85e"/>
  </ds:schemaRefs>
</ds:datastoreItem>
</file>

<file path=customXml/itemProps4.xml><?xml version="1.0" encoding="utf-8"?>
<ds:datastoreItem xmlns:ds="http://schemas.openxmlformats.org/officeDocument/2006/customXml" ds:itemID="{F6ED1B8D-D118-4FC1-9913-0110E55B12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Versioning</vt:lpstr>
      <vt:lpstr>Introduction</vt:lpstr>
      <vt:lpstr>Bill Projection</vt:lpstr>
      <vt:lpstr>Bill Charts</vt:lpstr>
      <vt:lpstr>Rates</vt:lpstr>
      <vt:lpstr>Assumptions</vt:lpstr>
      <vt:lpstr>Existing</vt:lpstr>
      <vt:lpstr>Forecast</vt:lpstr>
      <vt:lpstr>LTP20Cost</vt:lpstr>
      <vt:lpstr>LTP20RevReq</vt:lpstr>
      <vt:lpstr>Assumptions!Print_Area</vt:lpstr>
      <vt:lpstr>'Bill Charts'!Print_Area</vt:lpstr>
      <vt:lpstr>'Bill Projection'!Print_Area</vt:lpstr>
      <vt:lpstr>Existing!Print_Area</vt:lpstr>
      <vt:lpstr>Forecast!Print_Area</vt:lpstr>
      <vt:lpstr>Introduction!Print_Area</vt:lpstr>
      <vt:lpstr>LTP20Cost!Print_Area</vt:lpstr>
      <vt:lpstr>LTP20RevReq!Print_Area</vt:lpstr>
      <vt:lpstr>Rates!Print_Area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2018-04-27T15:18:48Z</dcterms:created>
  <dcterms:modified xsi:type="dcterms:W3CDTF">2020-03-12T21:41:12Z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0x0101007F55288E8CAA3445B5605F8B0DBDE10E</vt:lpwstr>
  </property>
  <property fmtid="{D5CDD505-2E9C-101B-9397-08002B2CF9AE}" pid="3" name="Name">
    <vt:lpwstr>22942_X[]_2018UpdatedTransmissionRateProjectionWor_0152.xlsx</vt:lpwstr>
  </property>
  <property fmtid="{D5CDD505-2E9C-101B-9397-08002B2CF9AE}" pid="4" name="DocumentType">
    <vt:lpwstr/>
  </property>
</Properties>
</file>