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525A4EFC-A96E-4A2D-B251-21DB4C74DABD}" xr6:coauthVersionLast="47" xr6:coauthVersionMax="47" xr10:uidLastSave="{00000000-0000-0000-0000-000000000000}"/>
  <bookViews>
    <workbookView xWindow="-28920" yWindow="-120" windowWidth="29040" windowHeight="15840" tabRatio="777" activeTab="2" xr2:uid="{00000000-000D-0000-FFFF-FFFF00000000}"/>
  </bookViews>
  <sheets>
    <sheet name="A - Inputs and Summary" sheetId="1" r:id="rId1"/>
    <sheet name="B - Rate DTS and Riders" sheetId="32" r:id="rId2"/>
    <sheet name="C - Rate PSC and Rider" sheetId="41" r:id="rId3"/>
    <sheet name="D - Rate STS and Riders" sheetId="33" r:id="rId4"/>
    <sheet name="Lookup" sheetId="43" state="hidden" r:id="rId5"/>
  </sheets>
  <definedNames>
    <definedName name="AccountID">'A - Inputs and Summary'!$D$11</definedName>
    <definedName name="AESOTariff">Lookup!$C$1:$Z$1</definedName>
    <definedName name="EstimateType">'A - Inputs and Summary'!$I$15</definedName>
    <definedName name="OtherParticipant">'A - Inputs and Summary'!$I$16</definedName>
    <definedName name="ParticipantName">'A - Inputs and Summary'!$D$10</definedName>
    <definedName name="PreparationDate">'A - Inputs and Summary'!$D$12</definedName>
    <definedName name="PrimaryServiceCredit">'A - Inputs and Summary'!$I$17</definedName>
    <definedName name="_xlnm.Print_Area" localSheetId="0">'A - Inputs and Summary'!$A$1:$K$63</definedName>
    <definedName name="_xlnm.Print_Area" localSheetId="1">'B - Rate DTS and Riders'!$A$1:$J$62</definedName>
    <definedName name="_xlnm.Print_Area" localSheetId="2">'C - Rate PSC and Rider'!$A$1:$K$33</definedName>
    <definedName name="_xlnm.Print_Area" localSheetId="3">'D - Rate STS and Riders'!$B$1:$K$36</definedName>
    <definedName name="ReceivePSC">'A - Inputs and Summary'!$H$29</definedName>
    <definedName name="RegulatedGeneratingUnit">'A - Inputs and Summary'!$I$18</definedName>
    <definedName name="RiderC">'A - Inputs and Summary'!$I$19</definedName>
    <definedName name="RiderE">'A - Inputs and Summary'!$I$20</definedName>
    <definedName name="RiderF">'A - Inputs and Summary'!$I$21</definedName>
    <definedName name="RiderJ">'A - Inputs and Summary'!$I$22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3" l="1"/>
  <c r="B8" i="41"/>
  <c r="A8" i="32"/>
  <c r="I43" i="1" l="1"/>
  <c r="F59" i="32" s="1"/>
  <c r="H22" i="32"/>
  <c r="H47" i="32" s="1"/>
  <c r="I37" i="1"/>
  <c r="H21" i="32" s="1"/>
  <c r="E40" i="32" s="1"/>
  <c r="I36" i="1"/>
  <c r="J36" i="1" s="1"/>
  <c r="I16" i="33" s="1"/>
  <c r="K12" i="1"/>
  <c r="K12" i="41" s="1"/>
  <c r="K11" i="1"/>
  <c r="J11" i="32" s="1"/>
  <c r="G28" i="41"/>
  <c r="J16" i="41"/>
  <c r="J23" i="41" s="1"/>
  <c r="C16" i="41"/>
  <c r="C15" i="41"/>
  <c r="D12" i="41"/>
  <c r="D11" i="41"/>
  <c r="K10" i="41"/>
  <c r="G22" i="41" s="1"/>
  <c r="D10" i="41"/>
  <c r="K27" i="1"/>
  <c r="J27" i="1"/>
  <c r="I27" i="1"/>
  <c r="H15" i="32" s="1"/>
  <c r="J34" i="1"/>
  <c r="J35" i="1" s="1"/>
  <c r="I15" i="33" s="1"/>
  <c r="I32" i="33" s="1"/>
  <c r="G32" i="33"/>
  <c r="H16" i="32"/>
  <c r="H46" i="32" s="1"/>
  <c r="F29" i="33"/>
  <c r="I17" i="33"/>
  <c r="F23" i="33" s="1"/>
  <c r="I35" i="1"/>
  <c r="H19" i="32" s="1"/>
  <c r="H59" i="32" s="1"/>
  <c r="I32" i="1"/>
  <c r="I16" i="41" s="1"/>
  <c r="I18" i="33"/>
  <c r="I25" i="33" s="1"/>
  <c r="J15" i="33"/>
  <c r="J23" i="33" s="1"/>
  <c r="J18" i="33"/>
  <c r="J25" i="33" s="1"/>
  <c r="I30" i="1"/>
  <c r="H17" i="32" s="1"/>
  <c r="H28" i="32" s="1"/>
  <c r="J16" i="33"/>
  <c r="C18" i="33"/>
  <c r="C17" i="33"/>
  <c r="D10" i="33"/>
  <c r="K10" i="33"/>
  <c r="G25" i="33" s="1"/>
  <c r="D11" i="33"/>
  <c r="D12" i="33"/>
  <c r="C15" i="33"/>
  <c r="C16" i="33"/>
  <c r="J32" i="33"/>
  <c r="B21" i="32"/>
  <c r="B22" i="32"/>
  <c r="B20" i="32"/>
  <c r="B15" i="32"/>
  <c r="B19" i="32"/>
  <c r="B18" i="32"/>
  <c r="B16" i="32"/>
  <c r="I59" i="32"/>
  <c r="I22" i="32"/>
  <c r="I47" i="32" s="1"/>
  <c r="I16" i="32"/>
  <c r="I46" i="32" s="1"/>
  <c r="I19" i="32"/>
  <c r="I44" i="32" s="1"/>
  <c r="I18" i="32"/>
  <c r="I38" i="32" s="1"/>
  <c r="I17" i="32"/>
  <c r="I28" i="32" s="1"/>
  <c r="I20" i="32"/>
  <c r="J10" i="32"/>
  <c r="F37" i="32" s="1"/>
  <c r="C11" i="32"/>
  <c r="C12" i="32"/>
  <c r="C10" i="32"/>
  <c r="K32" i="33" l="1"/>
  <c r="J51" i="1" s="1"/>
  <c r="J59" i="1" s="1"/>
  <c r="K25" i="33"/>
  <c r="J59" i="32"/>
  <c r="H50" i="1" s="1"/>
  <c r="H58" i="1" s="1"/>
  <c r="G23" i="33"/>
  <c r="G29" i="33"/>
  <c r="J29" i="33"/>
  <c r="I23" i="33"/>
  <c r="I29" i="33"/>
  <c r="F31" i="32"/>
  <c r="I36" i="32"/>
  <c r="I15" i="41"/>
  <c r="I24" i="41" s="1"/>
  <c r="I42" i="32"/>
  <c r="I35" i="32"/>
  <c r="H18" i="32"/>
  <c r="H36" i="32" s="1"/>
  <c r="I31" i="32"/>
  <c r="I37" i="32"/>
  <c r="H34" i="32"/>
  <c r="I40" i="32"/>
  <c r="I29" i="32"/>
  <c r="I32" i="32"/>
  <c r="F47" i="32"/>
  <c r="J47" i="32" s="1"/>
  <c r="G21" i="41"/>
  <c r="H40" i="32"/>
  <c r="H29" i="32"/>
  <c r="H42" i="32"/>
  <c r="H32" i="32"/>
  <c r="H44" i="32"/>
  <c r="F35" i="32"/>
  <c r="K11" i="41"/>
  <c r="J24" i="41"/>
  <c r="F28" i="32"/>
  <c r="J28" i="32" s="1"/>
  <c r="J21" i="41"/>
  <c r="F38" i="32"/>
  <c r="F32" i="32"/>
  <c r="F29" i="32"/>
  <c r="J22" i="41"/>
  <c r="F42" i="32"/>
  <c r="F46" i="32"/>
  <c r="J46" i="32" s="1"/>
  <c r="H20" i="32"/>
  <c r="F40" i="32" s="1"/>
  <c r="F44" i="32"/>
  <c r="F36" i="32"/>
  <c r="G24" i="41"/>
  <c r="G23" i="41"/>
  <c r="F34" i="32"/>
  <c r="K11" i="33"/>
  <c r="K12" i="33"/>
  <c r="G20" i="41"/>
  <c r="J12" i="32"/>
  <c r="K51" i="1" l="1"/>
  <c r="K59" i="1" s="1"/>
  <c r="K50" i="1"/>
  <c r="K58" i="1" s="1"/>
  <c r="K23" i="33"/>
  <c r="K26" i="33" s="1"/>
  <c r="J47" i="1" s="1"/>
  <c r="J55" i="1" s="1"/>
  <c r="K29" i="33"/>
  <c r="J49" i="1" s="1"/>
  <c r="J57" i="1" s="1"/>
  <c r="H55" i="32"/>
  <c r="J55" i="32" s="1"/>
  <c r="K24" i="41"/>
  <c r="I23" i="41"/>
  <c r="K23" i="41" s="1"/>
  <c r="I21" i="41"/>
  <c r="K21" i="41" s="1"/>
  <c r="I22" i="41"/>
  <c r="K22" i="41" s="1"/>
  <c r="I20" i="41"/>
  <c r="K20" i="41" s="1"/>
  <c r="J34" i="32"/>
  <c r="J44" i="32"/>
  <c r="H54" i="32" s="1"/>
  <c r="J54" i="32" s="1"/>
  <c r="H37" i="32"/>
  <c r="J37" i="32" s="1"/>
  <c r="H35" i="32"/>
  <c r="J35" i="32" s="1"/>
  <c r="H38" i="32"/>
  <c r="J38" i="32" s="1"/>
  <c r="J32" i="32"/>
  <c r="H31" i="32"/>
  <c r="J31" i="32" s="1"/>
  <c r="J36" i="32"/>
  <c r="J40" i="32"/>
  <c r="H52" i="32" s="1"/>
  <c r="J52" i="32" s="1"/>
  <c r="J42" i="32"/>
  <c r="H53" i="32" s="1"/>
  <c r="J53" i="32" s="1"/>
  <c r="J29" i="32"/>
  <c r="K49" i="1" l="1"/>
  <c r="K57" i="1" s="1"/>
  <c r="K34" i="33"/>
  <c r="J52" i="1"/>
  <c r="J60" i="1" s="1"/>
  <c r="I28" i="41"/>
  <c r="K28" i="41" s="1"/>
  <c r="K29" i="41" s="1"/>
  <c r="I48" i="1" s="1"/>
  <c r="I56" i="1" s="1"/>
  <c r="H51" i="32"/>
  <c r="J51" i="32" s="1"/>
  <c r="J56" i="32" s="1"/>
  <c r="H48" i="1" s="1"/>
  <c r="H56" i="1" s="1"/>
  <c r="K25" i="41"/>
  <c r="J48" i="32"/>
  <c r="J61" i="32" l="1"/>
  <c r="K48" i="1"/>
  <c r="K56" i="1" s="1"/>
  <c r="I47" i="1"/>
  <c r="K31" i="41"/>
  <c r="H47" i="1"/>
  <c r="H52" i="1" s="1"/>
  <c r="I52" i="1" l="1"/>
  <c r="I55" i="1"/>
  <c r="I60" i="1" s="1"/>
  <c r="K47" i="1"/>
  <c r="K52" i="1" s="1"/>
  <c r="H55" i="1"/>
  <c r="K55" i="1" l="1"/>
  <c r="K60" i="1" s="1"/>
  <c r="H60" i="1"/>
</calcChain>
</file>

<file path=xl/sharedStrings.xml><?xml version="1.0" encoding="utf-8"?>
<sst xmlns="http://schemas.openxmlformats.org/spreadsheetml/2006/main" count="426" uniqueCount="231">
  <si>
    <t>Tariff:</t>
  </si>
  <si>
    <t>Effective:</t>
  </si>
  <si>
    <t>To:</t>
  </si>
  <si>
    <t>Other</t>
  </si>
  <si>
    <t>MW</t>
  </si>
  <si>
    <t>Date:</t>
  </si>
  <si>
    <t>Reference</t>
  </si>
  <si>
    <t>Amount</t>
  </si>
  <si>
    <t>NA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</si>
  <si>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</si>
  <si>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</si>
  <si>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</si>
  <si>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</si>
  <si>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</si>
  <si>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</si>
  <si>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</si>
  <si>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</si>
  <si>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</si>
  <si>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</si>
  <si>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</si>
  <si>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Date Prepared</t>
  </si>
  <si>
    <t>Account:</t>
  </si>
  <si>
    <t>Account ID</t>
  </si>
  <si>
    <t>Units</t>
  </si>
  <si>
    <t>%</t>
  </si>
  <si>
    <t>hours</t>
  </si>
  <si>
    <t>MWh</t>
  </si>
  <si>
    <t>$/MWh</t>
  </si>
  <si>
    <t>Bulk System Charge</t>
  </si>
  <si>
    <t>Coincident metered demand</t>
  </si>
  <si>
    <t>Metered energy</t>
  </si>
  <si>
    <t>Billing capacity</t>
  </si>
  <si>
    <t>Point of Delivery Charge</t>
  </si>
  <si>
    <t>Substation fraction</t>
  </si>
  <si>
    <t>All remaining MW of billing capacity</t>
  </si>
  <si>
    <t>Connection Charge</t>
  </si>
  <si>
    <t>Operating Reserve Charge Estimate</t>
  </si>
  <si>
    <t>5</t>
  </si>
  <si>
    <t>Voltage Control Charge</t>
  </si>
  <si>
    <t>Other System Support Services Charge</t>
  </si>
  <si>
    <t>First (7.5 × SF) MW of billing capacity</t>
  </si>
  <si>
    <t>Next (9.5 × SF) MW of billing capacity</t>
  </si>
  <si>
    <t>Next (23 × SF) MW of billing capacity</t>
  </si>
  <si>
    <t>Substation fraction (SF)</t>
  </si>
  <si>
    <t>Loss factor</t>
  </si>
  <si>
    <t>Charge</t>
  </si>
  <si>
    <t>Volume</t>
  </si>
  <si>
    <t>/MWh</t>
  </si>
  <si>
    <t>/month</t>
  </si>
  <si>
    <t>/MW/month</t>
  </si>
  <si>
    <t>pool price</t>
  </si>
  <si>
    <t>Highest metered demand</t>
  </si>
  <si>
    <t>Apparent power difference</t>
  </si>
  <si>
    <t>/MVA/month</t>
  </si>
  <si>
    <t>MVA</t>
  </si>
  <si>
    <t>2</t>
  </si>
  <si>
    <t>Rider F credit</t>
  </si>
  <si>
    <t>Rate DTS: Demand Transmission Service</t>
  </si>
  <si>
    <t>Rate PSC: Primary Service Credit</t>
  </si>
  <si>
    <t>Rider C: Deferral Account Adjustment Rider</t>
  </si>
  <si>
    <t>Rider F: Balancing Pool Consumer Allocation Rider</t>
  </si>
  <si>
    <t>Total Rate DTS charge</t>
  </si>
  <si>
    <t>Total Rate PSC credit</t>
  </si>
  <si>
    <t>Billing Quantity</t>
  </si>
  <si>
    <t>Rate or Rider Component</t>
  </si>
  <si>
    <t>Pool price</t>
  </si>
  <si>
    <t>DTS:3(2)</t>
  </si>
  <si>
    <t>Include Deferral Account Adjustment Rider C?</t>
  </si>
  <si>
    <t>Include Balancing Pool Consumer Allocation Rider F?</t>
  </si>
  <si>
    <t>Include Wind Forecasting Service Cost Recovery Rider J?</t>
  </si>
  <si>
    <t>Rate DTS</t>
  </si>
  <si>
    <t>Rate STS</t>
  </si>
  <si>
    <t>—</t>
  </si>
  <si>
    <t>Include Losses Calibration Factor Rider E?</t>
  </si>
  <si>
    <t>Choice</t>
  </si>
  <si>
    <t>BILLING DETERMINANTS</t>
  </si>
  <si>
    <t>Participant</t>
  </si>
  <si>
    <t>Regulated generating unit MW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</si>
  <si>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</si>
  <si>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</si>
  <si>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</si>
  <si>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</si>
  <si>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</si>
  <si>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</si>
  <si>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</si>
  <si>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</si>
  <si>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</si>
  <si>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</si>
  <si>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</si>
  <si>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</si>
  <si>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Total</t>
  </si>
  <si>
    <t>— </t>
  </si>
  <si>
    <t>BILL ESTIMATES: MONTHLY</t>
  </si>
  <si>
    <r>
      <t xml:space="preserve">BILL ESTIMATES: ANNUAL (Monthly </t>
    </r>
    <r>
      <rPr>
        <b/>
        <sz val="10"/>
        <rFont val="Arial"/>
        <family val="2"/>
      </rPr>
      <t>×</t>
    </r>
    <r>
      <rPr>
        <b/>
        <sz val="10"/>
        <rFont val="Arial"/>
        <family val="2"/>
      </rPr>
      <t xml:space="preserve"> 12)</t>
    </r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</si>
  <si>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</si>
  <si>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</si>
  <si>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</si>
  <si>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</si>
  <si>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</si>
  <si>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</si>
  <si>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</si>
  <si>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</si>
  <si>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</si>
  <si>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</si>
  <si>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</si>
  <si>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4</t>
  </si>
  <si>
    <t>Is estimate for Rate DTS, Rate STS or both?</t>
  </si>
  <si>
    <t>Does Primary Service Credit apply to service?</t>
  </si>
  <si>
    <t>This Market Participant</t>
  </si>
  <si>
    <t>(1)</t>
  </si>
  <si>
    <t>(y)</t>
  </si>
  <si>
    <t>% of pool price for operating reserve charge</t>
  </si>
  <si>
    <t>DTS:4(2)</t>
  </si>
  <si>
    <t>Rate STS: Supply Transmission Service</t>
  </si>
  <si>
    <t>Losses Charge</t>
  </si>
  <si>
    <t>Regulated Generating Unit Connection Cost</t>
  </si>
  <si>
    <t>Appendix A</t>
  </si>
  <si>
    <t>/MW</t>
  </si>
  <si>
    <t>Rider E: Losses Calibration Factor Rider</t>
  </si>
  <si>
    <t>Rider J: Wind Forecasting Service Cost Recovery Rider</t>
  </si>
  <si>
    <t>Rider J charge</t>
  </si>
  <si>
    <t>Total Rate STS charge</t>
  </si>
  <si>
    <t>Total estimated charge in settlement period under Rate STS:</t>
  </si>
  <si>
    <t>Glossary</t>
  </si>
  <si>
    <t>ESTIMATE DETAILS</t>
  </si>
  <si>
    <t>(i)</t>
  </si>
  <si>
    <t>Is this a regulated generating unit within its base life?</t>
  </si>
  <si>
    <t>(z)</t>
  </si>
  <si>
    <t>Contract capacity:</t>
  </si>
  <si>
    <t>Substation fraction (SF):</t>
  </si>
  <si>
    <t>Highest metered demand in settlement period:</t>
  </si>
  <si>
    <t>Coincidence factor with 15-minute system peak:</t>
  </si>
  <si>
    <t>Coincident metered demand:</t>
  </si>
  <si>
    <t>Highest metered demand in previous 24 months:</t>
  </si>
  <si>
    <t>Load or capacity factor:</t>
  </si>
  <si>
    <t>Hours in month:</t>
  </si>
  <si>
    <t>Metered energy:</t>
  </si>
  <si>
    <t>Pool price:</t>
  </si>
  <si>
    <t>Loss factor:</t>
  </si>
  <si>
    <t>Regulated generating unit MW:</t>
  </si>
  <si>
    <t>Wind Forecasting Cost Recovery Rider J charge:</t>
  </si>
  <si>
    <t>Total monthly charges:</t>
  </si>
  <si>
    <t>Total annual charges:</t>
  </si>
  <si>
    <t>6</t>
  </si>
  <si>
    <t>7(a)</t>
  </si>
  <si>
    <t>7(b)</t>
  </si>
  <si>
    <t>DTS:7(b)</t>
  </si>
  <si>
    <t>Regional System Charge</t>
  </si>
  <si>
    <t>Transmission Constraint Rebalancing Charge Estimate</t>
  </si>
  <si>
    <t>Operating reserve charge</t>
  </si>
  <si>
    <t>Voltage control charge</t>
  </si>
  <si>
    <t>Connection charge</t>
  </si>
  <si>
    <t>Transmission constraint rebalancing</t>
  </si>
  <si>
    <t>Other system support services</t>
  </si>
  <si>
    <t>Total Rider C charge or credit</t>
  </si>
  <si>
    <t>Rates DTS and PSC</t>
  </si>
  <si>
    <t>Relates to</t>
  </si>
  <si>
    <t>Quarterly Rider C charge (credit):</t>
  </si>
  <si>
    <t>Balancing Pool Rider F charge (credit):</t>
  </si>
  <si>
    <t>Attachm’t B</t>
  </si>
  <si>
    <t>(aa)</t>
  </si>
  <si>
    <t>Primary service credit</t>
  </si>
  <si>
    <t>Total estimated charge in settlement period under Rate DTS:</t>
  </si>
  <si>
    <t>Rate PSC</t>
  </si>
  <si>
    <t>Deferral Account Adjustment Rider C:</t>
  </si>
  <si>
    <t>Billing cap’y (highest of 90%×(i), (k) or 90%×(n)):</t>
  </si>
  <si>
    <t>% of pool price for OR charge estimate:</t>
  </si>
  <si>
    <t>Apparent power difference (when PF &lt; 90%):</t>
  </si>
  <si>
    <t>Quarterly Rider E calibrat’n factor charge (credit):</t>
  </si>
  <si>
    <t>Transmission service charge (credit):</t>
  </si>
  <si>
    <t>Losses Calibration Factor Rider E:</t>
  </si>
  <si>
    <t>Balancing Pool Consumer Allocation Rider F:</t>
  </si>
  <si>
    <t>Wind Forecasting Service Cost Recovery Rider J:</t>
  </si>
  <si>
    <t>Total estimated credit in settlement period under Rate PSC:</t>
  </si>
  <si>
    <t>Credit</t>
  </si>
  <si>
    <t>Total Rider C charge (credit)</t>
  </si>
  <si>
    <t>AESO 2019</t>
  </si>
  <si>
    <t>Tariff</t>
  </si>
  <si>
    <t>AESO 2015</t>
  </si>
  <si>
    <t>AESO 2016</t>
  </si>
  <si>
    <t>AESO 2017</t>
  </si>
  <si>
    <t>AESO 2018</t>
  </si>
  <si>
    <t>AESO 2020</t>
  </si>
  <si>
    <t>Effective On</t>
  </si>
  <si>
    <t>End Date</t>
  </si>
  <si>
    <t>metered energy</t>
  </si>
  <si>
    <t>Metered Energy</t>
  </si>
  <si>
    <t>Rate DTS Charge</t>
  </si>
  <si>
    <t>(e) Substation fraction (SF)</t>
  </si>
  <si>
    <t>(f) First (7.5 × SF) MW of billing capacity</t>
  </si>
  <si>
    <t>(g) Next (9.5 × SF) MW of billing capacity</t>
  </si>
  <si>
    <t>(h) Next (23 × SF) MW of billing capacity</t>
  </si>
  <si>
    <t>(i) All remaining MW of billing capacity</t>
  </si>
  <si>
    <t>Rate PSC Credit</t>
  </si>
  <si>
    <t>Operating Reserve Charge</t>
  </si>
  <si>
    <t>Multiplier</t>
  </si>
  <si>
    <t>Transmission Constraint Rebalancing Charge</t>
  </si>
  <si>
    <t>Apparent Power Difference</t>
  </si>
  <si>
    <t>Rider F</t>
  </si>
  <si>
    <t>AESO 2021</t>
  </si>
  <si>
    <t>Attachment A: Inputs and Summary</t>
  </si>
  <si>
    <t>Any other market participant at substation?</t>
  </si>
  <si>
    <t>Market Participant:</t>
  </si>
  <si>
    <t>Name of Market Participant</t>
  </si>
  <si>
    <t>3(1)(a)</t>
  </si>
  <si>
    <t>3(1)(b)</t>
  </si>
  <si>
    <t>3(1)(c)</t>
  </si>
  <si>
    <t>3(1)(d)</t>
  </si>
  <si>
    <t>3(1)(e)</t>
  </si>
  <si>
    <t>3(1)(f)</t>
  </si>
  <si>
    <t>3(1)(g)</t>
  </si>
  <si>
    <t>3(1)(h)</t>
  </si>
  <si>
    <t>3(1)(i)</t>
  </si>
  <si>
    <t>2(2)</t>
  </si>
  <si>
    <t>2(1)</t>
  </si>
  <si>
    <t>3(1)</t>
  </si>
  <si>
    <t>2(2)(a)</t>
  </si>
  <si>
    <t>2(2)(b)</t>
  </si>
  <si>
    <t>2(2)(c)</t>
  </si>
  <si>
    <t>2(2)(d)</t>
  </si>
  <si>
    <t>2(2)(e)</t>
  </si>
  <si>
    <t>2(4)(a)</t>
  </si>
  <si>
    <t>2(4)(b)</t>
  </si>
  <si>
    <t>2(4)(c)</t>
  </si>
  <si>
    <t>2(4)(d)</t>
  </si>
  <si>
    <t>2(4)(e)</t>
  </si>
  <si>
    <t>No</t>
  </si>
  <si>
    <t>DTS Only</t>
  </si>
  <si>
    <t>AESO 2022</t>
  </si>
  <si>
    <t>AESO 2023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</si>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</sst>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.00000"/>
    <numFmt numFmtId="165" formatCode="&quot;$&quot;#,##0.00"/>
    <numFmt numFmtId="166" formatCode="#,##0.0"/>
    <numFmt numFmtId="167" formatCode="#,##0.00000"/>
    <numFmt numFmtId="168" formatCode="&quot;$&quot;#,##0.00;\(&quot;$&quot;#,##0.00\)"/>
    <numFmt numFmtId="169" formatCode="&quot;× &quot;0.00%"/>
    <numFmt numFmtId="170" formatCode="&quot;= &quot;* &quot;$&quot;#,##0.00"/>
    <numFmt numFmtId="171" formatCode="0.00%;\(0.00%\)"/>
    <numFmt numFmtId="172" formatCode="[$-409]mmmm\ d\,\ yyyy;@"/>
    <numFmt numFmtId="173" formatCode="&quot;$&quot;#,##0.000"/>
    <numFmt numFmtId="174" formatCode="&quot;= &quot;* &quot;$&quot;#,##0.00;&quot;= &quot;* \(&quot;$&quot;#,##0.00\)"/>
    <numFmt numFmtId="175" formatCode="&quot;× &quot;0.00%;&quot;× &quot;\(0.00%\)"/>
    <numFmt numFmtId="176" formatCode="&quot;$&quot;#,##0.000_);[Red]\(&quot;$&quot;#,##0.000\)"/>
    <numFmt numFmtId="177" formatCode="mmm\ dd\,\ yyyy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5"/>
      <name val="Arial"/>
      <family val="2"/>
    </font>
    <font>
      <sz val="11"/>
      <name val="Arial Black"/>
      <family val="2"/>
    </font>
    <font>
      <sz val="6"/>
      <name val="Arial"/>
      <family val="2"/>
    </font>
    <font>
      <b/>
      <sz val="18"/>
      <color indexed="18"/>
      <name val="Arial"/>
      <family val="2"/>
    </font>
    <font>
      <b/>
      <sz val="12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3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0" fontId="5" fillId="0" borderId="0"/>
    <xf numFmtId="0" fontId="10" fillId="0" borderId="0"/>
    <xf numFmtId="0" fontId="11" fillId="0" borderId="0"/>
    <xf numFmtId="0" fontId="12" fillId="0" borderId="0">
      <alignment vertical="top"/>
    </xf>
    <xf numFmtId="0" fontId="18" fillId="0" borderId="0"/>
    <xf numFmtId="9" fontId="18" fillId="0" borderId="0" applyFont="0" applyFill="0" applyBorder="0" applyAlignment="0" applyProtection="0"/>
    <xf numFmtId="0" fontId="5" fillId="0" borderId="0"/>
    <xf numFmtId="9" fontId="22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quotePrefix="1"/>
    <xf numFmtId="0" fontId="8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0" fillId="0" borderId="0" xfId="0" quotePrefix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5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/>
    <xf numFmtId="0" fontId="0" fillId="0" borderId="0" xfId="0" applyAlignment="1" applyProtection="1"/>
    <xf numFmtId="5" fontId="4" fillId="0" borderId="0" xfId="0" applyNumberFormat="1" applyFont="1" applyProtection="1"/>
    <xf numFmtId="0" fontId="0" fillId="0" borderId="1" xfId="0" quotePrefix="1" applyBorder="1" applyProtection="1"/>
    <xf numFmtId="0" fontId="0" fillId="0" borderId="2" xfId="0" applyBorder="1" applyProtection="1"/>
    <xf numFmtId="0" fontId="0" fillId="0" borderId="2" xfId="0" quotePrefix="1" applyBorder="1" applyProtection="1"/>
    <xf numFmtId="0" fontId="0" fillId="0" borderId="3" xfId="0" quotePrefix="1" applyBorder="1" applyProtection="1"/>
    <xf numFmtId="0" fontId="0" fillId="0" borderId="4" xfId="0" applyBorder="1" applyProtection="1"/>
    <xf numFmtId="0" fontId="0" fillId="0" borderId="4" xfId="0" quotePrefix="1" applyBorder="1" applyProtection="1"/>
    <xf numFmtId="0" fontId="0" fillId="0" borderId="5" xfId="0" quotePrefix="1" applyBorder="1" applyProtection="1"/>
    <xf numFmtId="0" fontId="0" fillId="0" borderId="0" xfId="0" applyBorder="1" applyProtection="1"/>
    <xf numFmtId="0" fontId="0" fillId="0" borderId="0" xfId="0" quotePrefix="1" applyBorder="1" applyProtection="1"/>
    <xf numFmtId="0" fontId="0" fillId="0" borderId="6" xfId="0" quotePrefix="1" applyBorder="1" applyProtection="1"/>
    <xf numFmtId="0" fontId="0" fillId="0" borderId="7" xfId="0" applyBorder="1" applyProtection="1"/>
    <xf numFmtId="0" fontId="0" fillId="0" borderId="7" xfId="0" quotePrefix="1" applyBorder="1" applyProtection="1"/>
    <xf numFmtId="5" fontId="0" fillId="0" borderId="0" xfId="0" applyNumberForma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/>
    <xf numFmtId="5" fontId="4" fillId="0" borderId="0" xfId="0" applyNumberFormat="1" applyFont="1" applyBorder="1" applyProtection="1"/>
    <xf numFmtId="0" fontId="0" fillId="0" borderId="8" xfId="0" applyBorder="1" applyProtection="1"/>
    <xf numFmtId="0" fontId="0" fillId="0" borderId="8" xfId="0" quotePrefix="1" applyBorder="1" applyProtection="1"/>
    <xf numFmtId="0" fontId="0" fillId="0" borderId="9" xfId="0" quotePrefix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165" fontId="4" fillId="0" borderId="2" xfId="0" applyNumberFormat="1" applyFont="1" applyBorder="1" applyAlignment="1" applyProtection="1"/>
    <xf numFmtId="0" fontId="4" fillId="0" borderId="2" xfId="0" quotePrefix="1" applyFont="1" applyBorder="1" applyProtection="1"/>
    <xf numFmtId="166" fontId="4" fillId="0" borderId="2" xfId="0" applyNumberFormat="1" applyFont="1" applyBorder="1" applyProtection="1"/>
    <xf numFmtId="7" fontId="4" fillId="0" borderId="2" xfId="0" applyNumberFormat="1" applyFont="1" applyBorder="1" applyAlignment="1" applyProtection="1"/>
    <xf numFmtId="0" fontId="6" fillId="0" borderId="3" xfId="0" applyFont="1" applyBorder="1" applyProtection="1"/>
    <xf numFmtId="0" fontId="6" fillId="0" borderId="4" xfId="0" applyFont="1" applyBorder="1" applyProtection="1"/>
    <xf numFmtId="165" fontId="6" fillId="0" borderId="4" xfId="0" applyNumberFormat="1" applyFont="1" applyBorder="1" applyProtection="1"/>
    <xf numFmtId="0" fontId="6" fillId="0" borderId="4" xfId="0" applyFont="1" applyBorder="1" applyAlignment="1" applyProtection="1"/>
    <xf numFmtId="0" fontId="6" fillId="0" borderId="10" xfId="0" applyFont="1" applyBorder="1" applyProtection="1"/>
    <xf numFmtId="0" fontId="6" fillId="0" borderId="11" xfId="0" applyFont="1" applyBorder="1" applyProtection="1"/>
    <xf numFmtId="165" fontId="6" fillId="0" borderId="11" xfId="0" applyNumberFormat="1" applyFont="1" applyBorder="1" applyAlignment="1" applyProtection="1"/>
    <xf numFmtId="0" fontId="7" fillId="0" borderId="0" xfId="0" applyFont="1" applyFill="1" applyAlignment="1" applyProtection="1">
      <alignment horizontal="left" indent="2"/>
    </xf>
    <xf numFmtId="0" fontId="7" fillId="0" borderId="0" xfId="0" quotePrefix="1" applyFont="1" applyFill="1" applyProtection="1"/>
    <xf numFmtId="0" fontId="0" fillId="0" borderId="0" xfId="0" applyAlignment="1" applyProtection="1">
      <alignment horizontal="left" indent="1"/>
    </xf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167" fontId="0" fillId="0" borderId="0" xfId="0" applyNumberFormat="1" applyAlignment="1" applyProtection="1">
      <alignment horizontal="right"/>
    </xf>
    <xf numFmtId="165" fontId="0" fillId="0" borderId="0" xfId="0" applyNumberFormat="1" applyAlignment="1" applyProtection="1">
      <alignment horizontal="right"/>
    </xf>
    <xf numFmtId="0" fontId="0" fillId="0" borderId="0" xfId="0" quotePrefix="1" applyAlignment="1" applyProtection="1"/>
    <xf numFmtId="5" fontId="4" fillId="0" borderId="0" xfId="0" applyNumberFormat="1" applyFon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quotePrefix="1" applyAlignment="1" applyProtection="1">
      <alignment horizontal="left" indent="1"/>
    </xf>
    <xf numFmtId="0" fontId="5" fillId="0" borderId="0" xfId="0" applyFont="1" applyFill="1" applyAlignment="1" applyProtection="1"/>
    <xf numFmtId="0" fontId="4" fillId="0" borderId="0" xfId="0" applyFont="1"/>
    <xf numFmtId="0" fontId="4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5" fontId="0" fillId="0" borderId="0" xfId="0" applyNumberFormat="1" applyAlignment="1" applyProtection="1">
      <alignment horizontal="right"/>
    </xf>
    <xf numFmtId="0" fontId="7" fillId="0" borderId="0" xfId="0" applyFont="1" applyAlignment="1" applyProtection="1">
      <alignment horizontal="left" indent="5"/>
    </xf>
    <xf numFmtId="0" fontId="4" fillId="0" borderId="0" xfId="0" applyFont="1" applyAlignment="1" applyProtection="1">
      <alignment horizontal="right"/>
    </xf>
    <xf numFmtId="166" fontId="6" fillId="0" borderId="4" xfId="0" applyNumberFormat="1" applyFont="1" applyBorder="1" applyAlignment="1" applyProtection="1">
      <alignment horizontal="right"/>
    </xf>
    <xf numFmtId="166" fontId="0" fillId="0" borderId="0" xfId="0" applyNumberFormat="1" applyBorder="1" applyAlignment="1" applyProtection="1">
      <alignment horizontal="right"/>
    </xf>
    <xf numFmtId="3" fontId="0" fillId="0" borderId="7" xfId="0" applyNumberFormat="1" applyBorder="1" applyAlignment="1" applyProtection="1">
      <alignment horizontal="right"/>
    </xf>
    <xf numFmtId="166" fontId="6" fillId="0" borderId="11" xfId="0" applyNumberFormat="1" applyFont="1" applyBorder="1" applyAlignment="1" applyProtection="1">
      <alignment horizontal="right"/>
    </xf>
    <xf numFmtId="167" fontId="0" fillId="0" borderId="0" xfId="0" applyNumberFormat="1" applyBorder="1" applyAlignment="1" applyProtection="1">
      <alignment horizontal="right"/>
    </xf>
    <xf numFmtId="166" fontId="0" fillId="0" borderId="8" xfId="0" applyNumberForma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3" fontId="0" fillId="0" borderId="2" xfId="0" applyNumberFormat="1" applyBorder="1" applyAlignment="1" applyProtection="1">
      <alignment horizontal="right"/>
    </xf>
    <xf numFmtId="166" fontId="0" fillId="0" borderId="4" xfId="0" applyNumberFormat="1" applyBorder="1" applyAlignment="1" applyProtection="1">
      <alignment horizontal="right"/>
    </xf>
    <xf numFmtId="166" fontId="4" fillId="0" borderId="2" xfId="0" applyNumberFormat="1" applyFont="1" applyBorder="1" applyAlignment="1" applyProtection="1">
      <alignment horizontal="right"/>
    </xf>
    <xf numFmtId="0" fontId="0" fillId="0" borderId="2" xfId="0" quotePrefix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right"/>
    </xf>
    <xf numFmtId="170" fontId="0" fillId="0" borderId="2" xfId="0" applyNumberFormat="1" applyBorder="1" applyAlignment="1" applyProtection="1">
      <alignment horizontal="right"/>
    </xf>
    <xf numFmtId="5" fontId="6" fillId="0" borderId="12" xfId="0" applyNumberFormat="1" applyFont="1" applyBorder="1" applyAlignment="1" applyProtection="1">
      <alignment horizontal="right"/>
    </xf>
    <xf numFmtId="5" fontId="0" fillId="0" borderId="13" xfId="0" applyNumberFormat="1" applyBorder="1" applyAlignment="1" applyProtection="1">
      <alignment horizontal="right"/>
    </xf>
    <xf numFmtId="5" fontId="0" fillId="0" borderId="14" xfId="0" applyNumberFormat="1" applyBorder="1" applyAlignment="1" applyProtection="1">
      <alignment horizontal="right"/>
    </xf>
    <xf numFmtId="5" fontId="6" fillId="0" borderId="15" xfId="0" applyNumberFormat="1" applyFont="1" applyBorder="1" applyAlignment="1" applyProtection="1">
      <alignment horizontal="right"/>
    </xf>
    <xf numFmtId="5" fontId="0" fillId="0" borderId="16" xfId="0" applyNumberFormat="1" applyBorder="1" applyAlignment="1" applyProtection="1">
      <alignment horizontal="right"/>
    </xf>
    <xf numFmtId="5" fontId="0" fillId="0" borderId="17" xfId="0" applyNumberFormat="1" applyBorder="1" applyAlignment="1" applyProtection="1">
      <alignment horizontal="right"/>
    </xf>
    <xf numFmtId="5" fontId="0" fillId="0" borderId="12" xfId="0" applyNumberFormat="1" applyBorder="1" applyAlignment="1" applyProtection="1">
      <alignment horizontal="right"/>
    </xf>
    <xf numFmtId="5" fontId="4" fillId="0" borderId="17" xfId="0" applyNumberFormat="1" applyFont="1" applyBorder="1" applyAlignment="1" applyProtection="1">
      <alignment horizontal="right"/>
    </xf>
    <xf numFmtId="168" fontId="0" fillId="0" borderId="2" xfId="0" applyNumberFormat="1" applyBorder="1" applyAlignment="1" applyProtection="1">
      <alignment horizontal="right"/>
    </xf>
    <xf numFmtId="0" fontId="16" fillId="0" borderId="0" xfId="0" applyFont="1" applyAlignment="1">
      <alignment horizontal="right"/>
    </xf>
    <xf numFmtId="5" fontId="4" fillId="0" borderId="4" xfId="0" applyNumberFormat="1" applyFont="1" applyBorder="1" applyAlignment="1" applyProtection="1">
      <alignment horizontal="right"/>
    </xf>
    <xf numFmtId="3" fontId="15" fillId="2" borderId="0" xfId="0" applyNumberFormat="1" applyFont="1" applyFill="1" applyAlignment="1" applyProtection="1">
      <protection locked="0"/>
    </xf>
    <xf numFmtId="166" fontId="0" fillId="0" borderId="2" xfId="0" applyNumberFormat="1" applyBorder="1" applyAlignment="1" applyProtection="1">
      <alignment horizontal="right"/>
    </xf>
    <xf numFmtId="5" fontId="4" fillId="0" borderId="0" xfId="0" applyNumberFormat="1" applyFont="1" applyAlignment="1" applyProtection="1">
      <alignment horizontal="right"/>
    </xf>
    <xf numFmtId="0" fontId="5" fillId="0" borderId="0" xfId="0" applyFont="1" applyProtection="1"/>
    <xf numFmtId="166" fontId="15" fillId="2" borderId="0" xfId="0" applyNumberFormat="1" applyFont="1" applyFill="1" applyAlignment="1" applyProtection="1">
      <alignment horizontal="right"/>
      <protection locked="0"/>
    </xf>
    <xf numFmtId="9" fontId="15" fillId="2" borderId="0" xfId="0" applyNumberFormat="1" applyFont="1" applyFill="1" applyAlignment="1" applyProtection="1">
      <alignment horizontal="right"/>
      <protection locked="0"/>
    </xf>
    <xf numFmtId="168" fontId="15" fillId="2" borderId="0" xfId="0" applyNumberFormat="1" applyFont="1" applyFill="1" applyProtection="1">
      <protection locked="0"/>
    </xf>
    <xf numFmtId="169" fontId="0" fillId="0" borderId="2" xfId="0" applyNumberFormat="1" applyBorder="1" applyAlignment="1" applyProtection="1">
      <alignment horizontal="center"/>
    </xf>
    <xf numFmtId="171" fontId="15" fillId="2" borderId="0" xfId="0" applyNumberFormat="1" applyFont="1" applyFill="1" applyAlignment="1" applyProtection="1">
      <alignment horizontal="right"/>
      <protection locked="0"/>
    </xf>
    <xf numFmtId="0" fontId="5" fillId="0" borderId="0" xfId="0" applyFont="1"/>
    <xf numFmtId="0" fontId="5" fillId="0" borderId="0" xfId="0" quotePrefix="1" applyFont="1"/>
    <xf numFmtId="0" fontId="7" fillId="0" borderId="0" xfId="0" quotePrefix="1" applyFont="1" applyProtection="1"/>
    <xf numFmtId="0" fontId="5" fillId="0" borderId="0" xfId="0" quotePrefix="1" applyFont="1" applyProtection="1"/>
    <xf numFmtId="0" fontId="5" fillId="0" borderId="1" xfId="0" quotePrefix="1" applyFont="1" applyBorder="1" applyProtection="1"/>
    <xf numFmtId="0" fontId="5" fillId="0" borderId="3" xfId="0" applyFont="1" applyBorder="1" applyProtection="1"/>
    <xf numFmtId="0" fontId="5" fillId="0" borderId="9" xfId="0" applyFont="1" applyBorder="1" applyProtection="1"/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5" fillId="0" borderId="4" xfId="0" applyFont="1" applyBorder="1" applyProtection="1"/>
    <xf numFmtId="0" fontId="5" fillId="0" borderId="0" xfId="0" applyFont="1" applyBorder="1" applyProtection="1"/>
    <xf numFmtId="0" fontId="5" fillId="0" borderId="8" xfId="0" applyFont="1" applyBorder="1" applyProtection="1"/>
    <xf numFmtId="5" fontId="0" fillId="0" borderId="4" xfId="0" applyNumberFormat="1" applyBorder="1" applyAlignment="1" applyProtection="1">
      <alignment horizontal="right"/>
    </xf>
    <xf numFmtId="5" fontId="0" fillId="0" borderId="0" xfId="0" applyNumberFormat="1" applyBorder="1" applyAlignment="1" applyProtection="1">
      <alignment horizontal="right"/>
    </xf>
    <xf numFmtId="5" fontId="0" fillId="0" borderId="8" xfId="0" applyNumberFormat="1" applyBorder="1" applyAlignment="1" applyProtection="1">
      <alignment horizontal="right"/>
    </xf>
    <xf numFmtId="171" fontId="15" fillId="2" borderId="0" xfId="0" applyNumberFormat="1" applyFont="1" applyFill="1" applyProtection="1">
      <protection locked="0"/>
    </xf>
    <xf numFmtId="0" fontId="5" fillId="0" borderId="0" xfId="0" quotePrefix="1" applyFont="1" applyFill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68" fontId="19" fillId="0" borderId="0" xfId="0" applyNumberFormat="1" applyFont="1" applyFill="1" applyAlignment="1" applyProtection="1">
      <alignment horizontal="right"/>
    </xf>
    <xf numFmtId="0" fontId="5" fillId="0" borderId="5" xfId="0" quotePrefix="1" applyFont="1" applyBorder="1" applyProtection="1"/>
    <xf numFmtId="0" fontId="5" fillId="0" borderId="9" xfId="0" quotePrefix="1" applyFont="1" applyBorder="1" applyProtection="1"/>
    <xf numFmtId="171" fontId="19" fillId="0" borderId="0" xfId="0" applyNumberFormat="1" applyFont="1" applyFill="1" applyProtection="1"/>
    <xf numFmtId="174" fontId="0" fillId="0" borderId="2" xfId="0" applyNumberFormat="1" applyBorder="1" applyAlignment="1" applyProtection="1">
      <alignment horizontal="right"/>
    </xf>
    <xf numFmtId="175" fontId="0" fillId="0" borderId="2" xfId="0" applyNumberFormat="1" applyBorder="1" applyAlignment="1" applyProtection="1">
      <alignment horizontal="center"/>
    </xf>
    <xf numFmtId="171" fontId="0" fillId="0" borderId="0" xfId="0" applyNumberFormat="1" applyAlignment="1" applyProtection="1">
      <alignment horizontal="right"/>
    </xf>
    <xf numFmtId="0" fontId="18" fillId="0" borderId="0" xfId="6"/>
    <xf numFmtId="15" fontId="18" fillId="0" borderId="0" xfId="6" applyNumberFormat="1"/>
    <xf numFmtId="8" fontId="18" fillId="0" borderId="0" xfId="6" applyNumberFormat="1"/>
    <xf numFmtId="10" fontId="18" fillId="0" borderId="0" xfId="7" applyNumberFormat="1" applyFont="1"/>
    <xf numFmtId="10" fontId="18" fillId="0" borderId="0" xfId="6" applyNumberFormat="1"/>
    <xf numFmtId="176" fontId="18" fillId="0" borderId="0" xfId="6" applyNumberFormat="1"/>
    <xf numFmtId="176" fontId="18" fillId="0" borderId="0" xfId="6" applyNumberFormat="1" applyFill="1"/>
    <xf numFmtId="177" fontId="5" fillId="0" borderId="0" xfId="0" quotePrefix="1" applyNumberFormat="1" applyFont="1" applyProtection="1"/>
    <xf numFmtId="0" fontId="18" fillId="0" borderId="0" xfId="6" applyFill="1"/>
    <xf numFmtId="165" fontId="0" fillId="0" borderId="2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165" fontId="0" fillId="0" borderId="8" xfId="0" applyNumberFormat="1" applyFill="1" applyBorder="1" applyAlignment="1" applyProtection="1"/>
    <xf numFmtId="173" fontId="0" fillId="0" borderId="2" xfId="0" applyNumberFormat="1" applyFill="1" applyBorder="1" applyAlignment="1" applyProtection="1"/>
    <xf numFmtId="0" fontId="4" fillId="0" borderId="0" xfId="0" applyFont="1" applyFill="1" applyBorder="1" applyProtection="1"/>
    <xf numFmtId="165" fontId="0" fillId="0" borderId="4" xfId="0" applyNumberFormat="1" applyFill="1" applyBorder="1" applyAlignment="1" applyProtection="1"/>
    <xf numFmtId="0" fontId="0" fillId="0" borderId="0" xfId="0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right"/>
    </xf>
    <xf numFmtId="10" fontId="0" fillId="0" borderId="0" xfId="0" applyNumberFormat="1" applyFill="1" applyAlignment="1" applyProtection="1">
      <alignment horizontal="right"/>
    </xf>
    <xf numFmtId="166" fontId="0" fillId="0" borderId="0" xfId="0" applyNumberFormat="1" applyFill="1" applyAlignment="1" applyProtection="1">
      <alignment horizontal="right"/>
    </xf>
    <xf numFmtId="165" fontId="5" fillId="0" borderId="0" xfId="0" applyNumberFormat="1" applyFont="1" applyFill="1" applyAlignment="1" applyProtection="1">
      <protection locked="0"/>
    </xf>
    <xf numFmtId="10" fontId="5" fillId="0" borderId="0" xfId="0" applyNumberFormat="1" applyFont="1" applyFill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right"/>
    </xf>
    <xf numFmtId="0" fontId="3" fillId="0" borderId="0" xfId="2" applyFont="1" applyFill="1"/>
    <xf numFmtId="0" fontId="17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15" fontId="18" fillId="4" borderId="0" xfId="6" applyNumberFormat="1" applyFill="1"/>
    <xf numFmtId="0" fontId="5" fillId="0" borderId="0" xfId="0" applyFont="1" applyAlignment="1" applyProtection="1">
      <alignment horizontal="right"/>
    </xf>
    <xf numFmtId="177" fontId="5" fillId="0" borderId="0" xfId="0" quotePrefix="1" applyNumberFormat="1" applyFont="1" applyAlignment="1" applyProtection="1">
      <alignment horizontal="right"/>
    </xf>
    <xf numFmtId="0" fontId="0" fillId="0" borderId="0" xfId="0" applyAlignment="1" applyProtection="1">
      <alignment horizontal="right"/>
    </xf>
    <xf numFmtId="168" fontId="5" fillId="0" borderId="0" xfId="0" applyNumberFormat="1" applyFont="1" applyFill="1" applyProtection="1">
      <protection locked="0"/>
    </xf>
    <xf numFmtId="15" fontId="2" fillId="4" borderId="0" xfId="6" applyNumberFormat="1" applyFont="1" applyFill="1"/>
    <xf numFmtId="0" fontId="2" fillId="0" borderId="0" xfId="6" applyFont="1"/>
    <xf numFmtId="0" fontId="2" fillId="0" borderId="0" xfId="6" applyFont="1" applyFill="1"/>
    <xf numFmtId="15" fontId="21" fillId="0" borderId="0" xfId="0" applyNumberFormat="1" applyFont="1"/>
    <xf numFmtId="0" fontId="21" fillId="0" borderId="0" xfId="0" applyFont="1"/>
    <xf numFmtId="8" fontId="2" fillId="0" borderId="0" xfId="6" applyNumberFormat="1" applyFont="1" applyFill="1"/>
    <xf numFmtId="15" fontId="21" fillId="0" borderId="0" xfId="0" applyNumberFormat="1" applyFont="1" applyAlignment="1">
      <alignment horizontal="center"/>
    </xf>
    <xf numFmtId="8" fontId="1" fillId="0" borderId="0" xfId="6" applyNumberFormat="1" applyFont="1" applyFill="1"/>
    <xf numFmtId="10" fontId="1" fillId="0" borderId="0" xfId="9" applyNumberFormat="1" applyFont="1" applyFill="1"/>
    <xf numFmtId="0" fontId="20" fillId="4" borderId="0" xfId="0" applyFont="1" applyFill="1" applyAlignment="1">
      <alignment horizontal="center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protection locked="0"/>
    </xf>
    <xf numFmtId="172" fontId="14" fillId="2" borderId="0" xfId="0" applyNumberFormat="1" applyFont="1" applyFill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Fill="1" applyAlignment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/>
    <xf numFmtId="0" fontId="20" fillId="0" borderId="0" xfId="0" applyFont="1" applyAlignment="1" applyProtection="1">
      <alignment horizontal="center"/>
    </xf>
  </cellXfs>
  <cellStyles count="10">
    <cellStyle name="Between Paragraphs" xfId="1" xr:uid="{00000000-0005-0000-0000-000000000000}"/>
    <cellStyle name="Fact Sheet Body Text" xfId="2" xr:uid="{00000000-0005-0000-0000-000001000000}"/>
    <cellStyle name="Fact Sheet Body Text 2" xfId="8" xr:uid="{402955CA-C0CF-4BE0-A662-08C04357F4B0}"/>
    <cellStyle name="Fact Sheet Heading 1" xfId="3" xr:uid="{00000000-0005-0000-0000-000002000000}"/>
    <cellStyle name="Fact Sheet Heading 2" xfId="4" xr:uid="{00000000-0005-0000-0000-000003000000}"/>
    <cellStyle name="Fact Sheet Heading 3" xfId="5" xr:uid="{00000000-0005-0000-0000-000004000000}"/>
    <cellStyle name="Normal" xfId="0" builtinId="0"/>
    <cellStyle name="Normal 3" xfId="6" xr:uid="{00000000-0005-0000-0000-000006000000}"/>
    <cellStyle name="Percent" xfId="9" builtinId="5"/>
    <cellStyle name="Percent 3" xfId="7" xr:uid="{00000000-0005-0000-0000-000007000000}"/>
  </cellStyles>
  <dxfs count="33"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ont>
        <color theme="1"/>
      </font>
      <fill>
        <patternFill patternType="lightUp">
          <bgColor theme="0"/>
        </patternFill>
      </fill>
    </dxf>
    <dxf>
      <font>
        <color theme="1"/>
      </font>
      <fill>
        <patternFill patternType="lightUp">
          <fgColor indexed="64"/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</xdr:colOff>
      <xdr:row>0</xdr:row>
      <xdr:rowOff>45720</xdr:rowOff>
    </xdr:from>
    <xdr:to>
      <xdr:col>10</xdr:col>
      <xdr:colOff>601980</xdr:colOff>
      <xdr:row>5</xdr:row>
      <xdr:rowOff>119160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0940C-9C39-4485-919E-7D6FDA90656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8920" y="45720"/>
          <a:ext cx="6456680" cy="911640"/>
        </a:xfrm>
        <a:prstGeom prst="rect">
          <a:avLst/>
        </a:prstGeom>
        <a:noFill/>
      </xdr:spPr>
    </xdr:pic>
    <xdr:clientData/>
  </xdr:twoCellAnchor>
  <xdr:twoCellAnchor editAs="absolute">
    <xdr:from>
      <xdr:col>1</xdr:col>
      <xdr:colOff>38100</xdr:colOff>
      <xdr:row>0</xdr:row>
      <xdr:rowOff>0</xdr:rowOff>
    </xdr:from>
    <xdr:to>
      <xdr:col>8</xdr:col>
      <xdr:colOff>465776</xdr:colOff>
      <xdr:row>5</xdr:row>
      <xdr:rowOff>99059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788E65F-BD97-433A-AA2A-BC6A78FBDEA7}"/>
            </a:ext>
          </a:extLst>
        </xdr:cNvPr>
        <xdr:cNvSpPr txBox="1">
          <a:spLocks noChangeArrowheads="1"/>
        </xdr:cNvSpPr>
      </xdr:nvSpPr>
      <xdr:spPr bwMode="auto">
        <a:xfrm>
          <a:off x="213360" y="0"/>
          <a:ext cx="4740596" cy="93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#2023-015T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0</xdr:rowOff>
    </xdr:from>
    <xdr:to>
      <xdr:col>9</xdr:col>
      <xdr:colOff>347430</xdr:colOff>
      <xdr:row>7</xdr:row>
      <xdr:rowOff>4860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11C696-A1B6-4B6D-9CD4-28066A6256C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0"/>
        <a:stretch/>
      </xdr:blipFill>
      <xdr:spPr bwMode="auto">
        <a:xfrm>
          <a:off x="99060" y="0"/>
          <a:ext cx="6100530" cy="117834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67310</xdr:colOff>
      <xdr:row>0</xdr:row>
      <xdr:rowOff>105410</xdr:rowOff>
    </xdr:from>
    <xdr:to>
      <xdr:col>6</xdr:col>
      <xdr:colOff>224790</xdr:colOff>
      <xdr:row>5</xdr:row>
      <xdr:rowOff>149776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BCFC33-ED02-46AF-8B20-04EE19E83AD6}"/>
            </a:ext>
          </a:extLst>
        </xdr:cNvPr>
        <xdr:cNvSpPr txBox="1">
          <a:spLocks noChangeArrowheads="1"/>
        </xdr:cNvSpPr>
      </xdr:nvSpPr>
      <xdr:spPr bwMode="auto">
        <a:xfrm>
          <a:off x="67310" y="105410"/>
          <a:ext cx="3856990" cy="853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#2023-015T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83820</xdr:rowOff>
    </xdr:from>
    <xdr:to>
      <xdr:col>10</xdr:col>
      <xdr:colOff>502920</xdr:colOff>
      <xdr:row>7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0C6B7B-845D-4812-A72E-E656A39501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0"/>
        <a:stretch/>
      </xdr:blipFill>
      <xdr:spPr bwMode="auto">
        <a:xfrm>
          <a:off x="236220" y="83820"/>
          <a:ext cx="6210300" cy="1097280"/>
        </a:xfrm>
        <a:prstGeom prst="rect">
          <a:avLst/>
        </a:prstGeom>
        <a:noFill/>
      </xdr:spPr>
    </xdr:pic>
    <xdr:clientData/>
  </xdr:twoCellAnchor>
  <xdr:twoCellAnchor editAs="absolute">
    <xdr:from>
      <xdr:col>1</xdr:col>
      <xdr:colOff>12065</xdr:colOff>
      <xdr:row>0</xdr:row>
      <xdr:rowOff>104859</xdr:rowOff>
    </xdr:from>
    <xdr:to>
      <xdr:col>7</xdr:col>
      <xdr:colOff>114300</xdr:colOff>
      <xdr:row>6</xdr:row>
      <xdr:rowOff>26035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7ACE802-4D0E-4AE9-A041-BC60F37B9806}"/>
            </a:ext>
          </a:extLst>
        </xdr:cNvPr>
        <xdr:cNvSpPr txBox="1">
          <a:spLocks noChangeArrowheads="1"/>
        </xdr:cNvSpPr>
      </xdr:nvSpPr>
      <xdr:spPr bwMode="auto">
        <a:xfrm>
          <a:off x="193040" y="104859"/>
          <a:ext cx="3759835" cy="89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#2023-015T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68580</xdr:rowOff>
    </xdr:from>
    <xdr:to>
      <xdr:col>10</xdr:col>
      <xdr:colOff>518160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E8929-A023-4981-ACBD-2D73D65998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0"/>
        <a:stretch/>
      </xdr:blipFill>
      <xdr:spPr bwMode="auto">
        <a:xfrm>
          <a:off x="198120" y="68580"/>
          <a:ext cx="6240780" cy="109728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142874</xdr:colOff>
      <xdr:row>0</xdr:row>
      <xdr:rowOff>30480</xdr:rowOff>
    </xdr:from>
    <xdr:to>
      <xdr:col>7</xdr:col>
      <xdr:colOff>123824</xdr:colOff>
      <xdr:row>5</xdr:row>
      <xdr:rowOff>151592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DD0F771-B6B6-42B0-A4F7-B86C7D185592}"/>
            </a:ext>
          </a:extLst>
        </xdr:cNvPr>
        <xdr:cNvSpPr txBox="1">
          <a:spLocks noChangeArrowheads="1"/>
        </xdr:cNvSpPr>
      </xdr:nvSpPr>
      <xdr:spPr bwMode="auto">
        <a:xfrm>
          <a:off x="142874" y="30480"/>
          <a:ext cx="3819525" cy="93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#2023-015T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7:M61"/>
  <sheetViews>
    <sheetView showGridLines="0" topLeftCell="A10" zoomScaleNormal="100" workbookViewId="0">
      <selection activeCell="Q41" sqref="Q41"/>
    </sheetView>
  </sheetViews>
  <sheetFormatPr defaultColWidth="9.54296875" defaultRowHeight="12.5" x14ac:dyDescent="0.25"/>
  <cols>
    <col min="1" max="1" width="2.54296875" style="4" customWidth="1"/>
    <col min="2" max="2" width="4.6328125" style="4" customWidth="1"/>
    <col min="3" max="3" width="11.90625" style="4" customWidth="1"/>
    <col min="4" max="5" width="9.54296875" style="4" customWidth="1"/>
    <col min="6" max="6" width="10" style="4" customWidth="1"/>
    <col min="7" max="7" width="5.453125" style="4" customWidth="1"/>
    <col min="8" max="8" width="11.6328125" style="4" bestFit="1" customWidth="1"/>
    <col min="9" max="10" width="11.6328125" style="4" customWidth="1"/>
    <col min="11" max="11" width="13.453125" style="4" customWidth="1"/>
    <col min="12" max="16384" width="9.54296875" style="4"/>
  </cols>
  <sheetData>
    <row r="7" spans="2:11" ht="7.4" customHeight="1" x14ac:dyDescent="0.25"/>
    <row r="8" spans="2:11" s="2" customFormat="1" ht="17.399999999999999" customHeight="1" x14ac:dyDescent="0.5">
      <c r="B8" s="168" t="s">
        <v>200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2:11" s="3" customFormat="1" ht="5" customHeight="1" x14ac:dyDescent="0.2"/>
    <row r="10" spans="2:11" ht="13" x14ac:dyDescent="0.3">
      <c r="B10" s="4" t="s">
        <v>202</v>
      </c>
      <c r="D10" s="169" t="s">
        <v>203</v>
      </c>
      <c r="E10" s="169"/>
      <c r="F10" s="169"/>
      <c r="G10" s="169"/>
      <c r="H10" s="169"/>
      <c r="I10" s="169"/>
      <c r="J10" s="48" t="s">
        <v>0</v>
      </c>
      <c r="K10" s="155" t="s">
        <v>229</v>
      </c>
    </row>
    <row r="11" spans="2:11" ht="13" x14ac:dyDescent="0.3">
      <c r="B11" s="4" t="s">
        <v>21</v>
      </c>
      <c r="D11" s="170" t="s">
        <v>22</v>
      </c>
      <c r="E11" s="170"/>
      <c r="F11" s="170"/>
      <c r="G11" s="170"/>
      <c r="H11" s="170"/>
      <c r="I11" s="170"/>
      <c r="J11" s="48" t="s">
        <v>1</v>
      </c>
      <c r="K11" s="156">
        <f>HLOOKUP($K$10,Lookup!$C$1:$Z$3,2,0)</f>
        <v>44927</v>
      </c>
    </row>
    <row r="12" spans="2:11" x14ac:dyDescent="0.25">
      <c r="B12" t="s">
        <v>5</v>
      </c>
      <c r="C12"/>
      <c r="D12" s="171" t="s">
        <v>20</v>
      </c>
      <c r="E12" s="171"/>
      <c r="F12" s="171"/>
      <c r="G12" s="64"/>
      <c r="I12" s="101"/>
      <c r="J12" s="48" t="s">
        <v>2</v>
      </c>
      <c r="K12" s="156" t="str">
        <f>HLOOKUP($K$10,Lookup!$C$1:$Z$3,3,0)</f>
        <v>current</v>
      </c>
    </row>
    <row r="14" spans="2:11" ht="13" x14ac:dyDescent="0.3">
      <c r="B14" s="6" t="s">
        <v>124</v>
      </c>
      <c r="C14" s="6"/>
      <c r="D14" s="6"/>
      <c r="E14" s="6"/>
      <c r="F14" s="6"/>
      <c r="G14" s="6"/>
      <c r="H14" s="6"/>
      <c r="I14" s="7" t="s">
        <v>74</v>
      </c>
      <c r="J14" s="173" t="s">
        <v>156</v>
      </c>
      <c r="K14" s="173"/>
    </row>
    <row r="15" spans="2:11" x14ac:dyDescent="0.25">
      <c r="B15" s="5" t="s">
        <v>9</v>
      </c>
      <c r="C15" s="4" t="s">
        <v>106</v>
      </c>
      <c r="I15" s="107" t="s">
        <v>227</v>
      </c>
      <c r="J15" s="174" t="s">
        <v>72</v>
      </c>
      <c r="K15" s="174"/>
    </row>
    <row r="16" spans="2:11" x14ac:dyDescent="0.25">
      <c r="B16" s="5" t="s">
        <v>10</v>
      </c>
      <c r="C16" s="93" t="s">
        <v>201</v>
      </c>
      <c r="I16" s="106" t="s">
        <v>226</v>
      </c>
      <c r="J16" s="174" t="s">
        <v>72</v>
      </c>
      <c r="K16" s="174"/>
    </row>
    <row r="17" spans="2:13" x14ac:dyDescent="0.25">
      <c r="B17" s="4" t="s">
        <v>11</v>
      </c>
      <c r="C17" s="4" t="s">
        <v>107</v>
      </c>
      <c r="I17" s="106" t="s">
        <v>226</v>
      </c>
      <c r="J17" s="174" t="s">
        <v>70</v>
      </c>
      <c r="K17" s="174"/>
    </row>
    <row r="18" spans="2:13" x14ac:dyDescent="0.25">
      <c r="B18" s="5" t="s">
        <v>12</v>
      </c>
      <c r="C18" s="4" t="s">
        <v>126</v>
      </c>
      <c r="I18" s="106" t="s">
        <v>226</v>
      </c>
      <c r="J18" s="174" t="s">
        <v>71</v>
      </c>
      <c r="K18" s="174"/>
    </row>
    <row r="19" spans="2:13" x14ac:dyDescent="0.25">
      <c r="B19" s="5" t="s">
        <v>13</v>
      </c>
      <c r="C19" s="4" t="s">
        <v>67</v>
      </c>
      <c r="I19" s="106" t="s">
        <v>226</v>
      </c>
      <c r="J19" s="175" t="s">
        <v>155</v>
      </c>
      <c r="K19" s="175"/>
    </row>
    <row r="20" spans="2:13" x14ac:dyDescent="0.25">
      <c r="B20" s="5" t="s">
        <v>14</v>
      </c>
      <c r="C20" s="4" t="s">
        <v>73</v>
      </c>
      <c r="I20" s="106" t="s">
        <v>226</v>
      </c>
      <c r="J20" s="174" t="s">
        <v>71</v>
      </c>
      <c r="K20" s="174"/>
    </row>
    <row r="21" spans="2:13" x14ac:dyDescent="0.25">
      <c r="B21" s="5" t="s">
        <v>15</v>
      </c>
      <c r="C21" s="4" t="s">
        <v>68</v>
      </c>
      <c r="I21" s="106" t="s">
        <v>226</v>
      </c>
      <c r="J21" s="174" t="s">
        <v>70</v>
      </c>
      <c r="K21" s="174"/>
    </row>
    <row r="22" spans="2:13" x14ac:dyDescent="0.25">
      <c r="B22" s="5" t="s">
        <v>16</v>
      </c>
      <c r="C22" s="4" t="s">
        <v>69</v>
      </c>
      <c r="I22" s="106" t="s">
        <v>226</v>
      </c>
      <c r="J22" s="174" t="s">
        <v>71</v>
      </c>
      <c r="K22" s="174"/>
    </row>
    <row r="24" spans="2:13" ht="13" x14ac:dyDescent="0.3">
      <c r="H24" s="6"/>
      <c r="I24" s="172" t="s">
        <v>108</v>
      </c>
      <c r="J24" s="172"/>
      <c r="K24" s="7" t="s">
        <v>3</v>
      </c>
    </row>
    <row r="25" spans="2:13" customFormat="1" ht="13" x14ac:dyDescent="0.3">
      <c r="B25" s="58" t="s">
        <v>75</v>
      </c>
      <c r="C25" s="58"/>
      <c r="D25" s="58"/>
      <c r="E25" s="58"/>
      <c r="F25" s="58"/>
      <c r="G25" s="58"/>
      <c r="H25" s="59" t="s">
        <v>23</v>
      </c>
      <c r="I25" s="7" t="s">
        <v>70</v>
      </c>
      <c r="J25" s="7" t="s">
        <v>71</v>
      </c>
      <c r="K25" s="59" t="s">
        <v>76</v>
      </c>
    </row>
    <row r="26" spans="2:13" customFormat="1" x14ac:dyDescent="0.25">
      <c r="B26" s="1" t="s">
        <v>125</v>
      </c>
      <c r="C26" t="s">
        <v>128</v>
      </c>
      <c r="H26" s="9" t="s">
        <v>4</v>
      </c>
      <c r="I26" s="94">
        <v>20</v>
      </c>
      <c r="J26" s="94">
        <v>0</v>
      </c>
      <c r="K26" s="94">
        <v>0</v>
      </c>
      <c r="M26" s="100"/>
    </row>
    <row r="27" spans="2:13" customFormat="1" x14ac:dyDescent="0.25">
      <c r="B27" s="1" t="s">
        <v>17</v>
      </c>
      <c r="C27" t="s">
        <v>129</v>
      </c>
      <c r="H27" s="9" t="s">
        <v>72</v>
      </c>
      <c r="I27" s="62">
        <f>IF(OR(EstimateType="STS Only",SUM(I26:K26)=0),"NA",IF(ISERROR(I26/SUM(I26,IF(OR(EstimateType="STS Only",EstimateType="DTS and STS"),J26,0),IF(OtherParticipant="Yes",K26,0))),1,I26/SUM(I26,IF(OR(EstimateType="STS Only",EstimateType="DTS and STS"),J26,0),IF(OtherParticipant="Yes",K26,0))))</f>
        <v>1</v>
      </c>
      <c r="J27" s="62" t="str">
        <f>IF(OR(EstimateType="DTS Only",SUM(I26:K26)=0),"NA",IF(ISERROR(J26/SUM(IF(OR(EstimateType="DTS Only",EstimateType="DTS and STS"),I26,0),J26,IF(OtherParticipant="Yes",K26,0))),1,J26/SUM(IF(OR(EstimateType="DTS Only",EstimateType="DTS and STS"),I26,0),J26,IF(OtherParticipant="Yes",K26,0))))</f>
        <v>NA</v>
      </c>
      <c r="K27" s="62" t="str">
        <f>IF(OR(OtherParticipant="No",SUM(I26:K26)=0),"NA",IF(ISERROR(K26/SUM(IF(OR(EstimateType="DTS Only",EstimateType="DTS and STS"),I26,0),IF(OR(EstimateType="STS Only",EstimateType="DTS and STS"),J26,0),K26)),1,K26/SUM(IF(OR(EstimateType="DTS Only",EstimateType="DTS and STS"),I26,0),IF(OR(EstimateType="STS Only",EstimateType="DTS and STS"),J26,0),K26)))</f>
        <v>NA</v>
      </c>
      <c r="M27" s="100"/>
    </row>
    <row r="28" spans="2:13" customFormat="1" x14ac:dyDescent="0.25">
      <c r="B28" s="1" t="s">
        <v>18</v>
      </c>
      <c r="C28" t="s">
        <v>130</v>
      </c>
      <c r="H28" s="9" t="s">
        <v>4</v>
      </c>
      <c r="I28" s="94">
        <v>20</v>
      </c>
      <c r="J28" s="94">
        <v>0</v>
      </c>
      <c r="K28" s="88" t="s">
        <v>8</v>
      </c>
    </row>
    <row r="29" spans="2:13" customFormat="1" x14ac:dyDescent="0.25">
      <c r="B29" s="1" t="s">
        <v>19</v>
      </c>
      <c r="C29" t="s">
        <v>131</v>
      </c>
      <c r="H29" s="9" t="s">
        <v>24</v>
      </c>
      <c r="I29" s="95">
        <v>0.75</v>
      </c>
      <c r="J29" s="88" t="s">
        <v>8</v>
      </c>
      <c r="K29" s="88" t="s">
        <v>8</v>
      </c>
    </row>
    <row r="30" spans="2:13" customFormat="1" x14ac:dyDescent="0.25">
      <c r="B30" s="1" t="s">
        <v>78</v>
      </c>
      <c r="C30" t="s">
        <v>132</v>
      </c>
      <c r="H30" s="9" t="s">
        <v>4</v>
      </c>
      <c r="I30" s="60">
        <f>I28*I29</f>
        <v>15</v>
      </c>
      <c r="J30" s="88" t="s">
        <v>8</v>
      </c>
      <c r="K30" s="88" t="s">
        <v>8</v>
      </c>
    </row>
    <row r="31" spans="2:13" customFormat="1" x14ac:dyDescent="0.25">
      <c r="B31" s="1" t="s">
        <v>79</v>
      </c>
      <c r="C31" t="s">
        <v>133</v>
      </c>
      <c r="H31" s="9" t="s">
        <v>4</v>
      </c>
      <c r="I31" s="94">
        <v>20</v>
      </c>
      <c r="J31" s="88" t="s">
        <v>8</v>
      </c>
      <c r="K31" s="88" t="s">
        <v>8</v>
      </c>
    </row>
    <row r="32" spans="2:13" customFormat="1" x14ac:dyDescent="0.25">
      <c r="B32" s="1" t="s">
        <v>80</v>
      </c>
      <c r="C32" s="99" t="s">
        <v>165</v>
      </c>
      <c r="H32" s="9" t="s">
        <v>4</v>
      </c>
      <c r="I32" s="60">
        <f>MAX(90%*I26,I28,90%*I31)</f>
        <v>20</v>
      </c>
      <c r="J32" s="88" t="s">
        <v>8</v>
      </c>
      <c r="K32" s="88" t="s">
        <v>8</v>
      </c>
    </row>
    <row r="33" spans="2:13" customFormat="1" x14ac:dyDescent="0.25">
      <c r="B33" s="1" t="s">
        <v>81</v>
      </c>
      <c r="C33" t="s">
        <v>134</v>
      </c>
      <c r="H33" s="9" t="s">
        <v>24</v>
      </c>
      <c r="I33" s="95">
        <v>0.65</v>
      </c>
      <c r="J33" s="95">
        <v>0.5</v>
      </c>
      <c r="K33" s="88" t="s">
        <v>8</v>
      </c>
    </row>
    <row r="34" spans="2:13" customFormat="1" x14ac:dyDescent="0.25">
      <c r="B34" s="1" t="s">
        <v>82</v>
      </c>
      <c r="C34" t="s">
        <v>135</v>
      </c>
      <c r="H34" s="9" t="s">
        <v>25</v>
      </c>
      <c r="I34" s="90">
        <v>730</v>
      </c>
      <c r="J34" s="90">
        <f>I34</f>
        <v>730</v>
      </c>
      <c r="K34" s="88" t="s">
        <v>8</v>
      </c>
    </row>
    <row r="35" spans="2:13" customFormat="1" x14ac:dyDescent="0.25">
      <c r="B35" s="1" t="s">
        <v>83</v>
      </c>
      <c r="C35" t="s">
        <v>136</v>
      </c>
      <c r="H35" s="9" t="s">
        <v>26</v>
      </c>
      <c r="I35" s="61">
        <f>I28*I33*I34</f>
        <v>9490</v>
      </c>
      <c r="J35" s="61">
        <f>J28*J33*J34</f>
        <v>0</v>
      </c>
      <c r="K35" s="88" t="s">
        <v>8</v>
      </c>
      <c r="M35" s="100"/>
    </row>
    <row r="36" spans="2:13" customFormat="1" x14ac:dyDescent="0.25">
      <c r="B36" s="1" t="s">
        <v>84</v>
      </c>
      <c r="C36" t="s">
        <v>137</v>
      </c>
      <c r="H36" s="9" t="s">
        <v>27</v>
      </c>
      <c r="I36" s="147">
        <f>INDEX(Lookup!$C$18:$Z$18,1,MATCH($K$10,Lookup!$C$1:$Z$1,0))</f>
        <v>94.34</v>
      </c>
      <c r="J36" s="147">
        <f>I36</f>
        <v>94.34</v>
      </c>
      <c r="K36" s="88" t="s">
        <v>8</v>
      </c>
    </row>
    <row r="37" spans="2:13" customFormat="1" x14ac:dyDescent="0.25">
      <c r="B37" s="1" t="s">
        <v>85</v>
      </c>
      <c r="C37" t="s">
        <v>166</v>
      </c>
      <c r="H37" s="9" t="s">
        <v>24</v>
      </c>
      <c r="I37" s="148">
        <f>INDEX(Lookup!$C$19:$Z$19,1,MATCH($K$10,Lookup!$C$1:$Z$1,0))</f>
        <v>5.1799999999999999E-2</v>
      </c>
      <c r="J37" s="88" t="s">
        <v>8</v>
      </c>
      <c r="K37" s="88" t="s">
        <v>8</v>
      </c>
    </row>
    <row r="38" spans="2:13" customFormat="1" x14ac:dyDescent="0.25">
      <c r="B38" s="1" t="s">
        <v>86</v>
      </c>
      <c r="C38" s="99" t="s">
        <v>167</v>
      </c>
      <c r="H38" s="9" t="s">
        <v>54</v>
      </c>
      <c r="I38" s="90">
        <v>0</v>
      </c>
      <c r="J38" s="88" t="s">
        <v>8</v>
      </c>
      <c r="K38" s="88" t="s">
        <v>8</v>
      </c>
      <c r="M38" s="100"/>
    </row>
    <row r="39" spans="2:13" customFormat="1" x14ac:dyDescent="0.25">
      <c r="B39" s="1" t="s">
        <v>87</v>
      </c>
      <c r="C39" t="s">
        <v>138</v>
      </c>
      <c r="H39" s="9" t="s">
        <v>24</v>
      </c>
      <c r="I39" s="88" t="s">
        <v>8</v>
      </c>
      <c r="J39" s="98">
        <v>3.61E-2</v>
      </c>
      <c r="K39" s="88" t="s">
        <v>8</v>
      </c>
      <c r="M39" s="1"/>
    </row>
    <row r="40" spans="2:13" customFormat="1" x14ac:dyDescent="0.25">
      <c r="B40" s="1" t="s">
        <v>88</v>
      </c>
      <c r="C40" t="s">
        <v>139</v>
      </c>
      <c r="H40" s="9" t="s">
        <v>4</v>
      </c>
      <c r="I40" s="88" t="s">
        <v>8</v>
      </c>
      <c r="J40" s="94">
        <v>0</v>
      </c>
      <c r="K40" s="88" t="s">
        <v>8</v>
      </c>
      <c r="M40" s="100"/>
    </row>
    <row r="41" spans="2:13" customFormat="1" x14ac:dyDescent="0.25">
      <c r="B41" s="115" t="s">
        <v>89</v>
      </c>
      <c r="C41" s="116" t="s">
        <v>157</v>
      </c>
      <c r="D41" s="117"/>
      <c r="E41" s="117"/>
      <c r="F41" s="117"/>
      <c r="G41" s="117"/>
      <c r="H41" s="118" t="s">
        <v>24</v>
      </c>
      <c r="I41" s="120" t="s">
        <v>159</v>
      </c>
      <c r="J41" s="119" t="s">
        <v>8</v>
      </c>
      <c r="K41" s="119" t="s">
        <v>8</v>
      </c>
      <c r="M41" s="100"/>
    </row>
    <row r="42" spans="2:13" x14ac:dyDescent="0.25">
      <c r="B42" s="102" t="s">
        <v>110</v>
      </c>
      <c r="C42" s="93" t="s">
        <v>168</v>
      </c>
      <c r="H42" s="9" t="s">
        <v>24</v>
      </c>
      <c r="I42" s="88" t="s">
        <v>8</v>
      </c>
      <c r="J42" s="98">
        <v>-5.0000000000000001E-3</v>
      </c>
      <c r="K42" s="88" t="s">
        <v>8</v>
      </c>
      <c r="M42" s="100"/>
    </row>
    <row r="43" spans="2:13" customFormat="1" x14ac:dyDescent="0.25">
      <c r="B43" s="100" t="s">
        <v>127</v>
      </c>
      <c r="C43" s="99" t="s">
        <v>158</v>
      </c>
      <c r="H43" s="9" t="s">
        <v>27</v>
      </c>
      <c r="I43" s="158">
        <f>INDEX(Lookup!$C$25:$Z$25,1,MATCH($K$10,Lookup!$C$1:$Z$1,0))</f>
        <v>2.2000000000000002</v>
      </c>
      <c r="J43" s="88" t="s">
        <v>8</v>
      </c>
      <c r="K43" s="88" t="s">
        <v>8</v>
      </c>
      <c r="M43" s="100"/>
    </row>
    <row r="44" spans="2:13" x14ac:dyDescent="0.25">
      <c r="B44" s="102" t="s">
        <v>160</v>
      </c>
      <c r="C44" s="93" t="s">
        <v>140</v>
      </c>
      <c r="H44" s="9" t="s">
        <v>27</v>
      </c>
      <c r="I44" s="88" t="s">
        <v>8</v>
      </c>
      <c r="J44" s="96">
        <v>0.08</v>
      </c>
      <c r="K44" s="88" t="s">
        <v>8</v>
      </c>
      <c r="M44" s="100"/>
    </row>
    <row r="46" spans="2:13" ht="13" x14ac:dyDescent="0.3">
      <c r="B46" s="6" t="s">
        <v>92</v>
      </c>
      <c r="C46" s="6"/>
      <c r="D46" s="6"/>
      <c r="E46" s="6"/>
      <c r="F46" s="6"/>
      <c r="G46" s="6"/>
      <c r="H46" s="7" t="s">
        <v>70</v>
      </c>
      <c r="I46" s="7" t="s">
        <v>163</v>
      </c>
      <c r="J46" s="7" t="s">
        <v>71</v>
      </c>
      <c r="K46" s="7" t="s">
        <v>90</v>
      </c>
    </row>
    <row r="47" spans="2:13" x14ac:dyDescent="0.25">
      <c r="B47" s="5" t="s">
        <v>109</v>
      </c>
      <c r="C47" s="93" t="s">
        <v>169</v>
      </c>
      <c r="H47" s="63">
        <f>IF(EstimateType="STS Only","NA ",'B - Rate DTS and Riders'!J48)</f>
        <v>371255.47587999998</v>
      </c>
      <c r="I47" s="63" t="str">
        <f>IF(OR(EstimateType="STS Only",PrimaryServiceCredit&lt;&gt;"Yes"),"NA ",'C - Rate PSC and Rider'!K25)</f>
        <v>NA </v>
      </c>
      <c r="J47" s="63" t="str">
        <f>IF(EstimateType="DTS Only","NA ",'D - Rate STS and Riders'!K26)</f>
        <v>NA </v>
      </c>
      <c r="K47" s="63">
        <f>SUM(H47:J47)</f>
        <v>371255.47587999998</v>
      </c>
    </row>
    <row r="48" spans="2:13" x14ac:dyDescent="0.25">
      <c r="B48" s="102" t="s">
        <v>94</v>
      </c>
      <c r="C48" s="93" t="s">
        <v>164</v>
      </c>
      <c r="H48" s="63" t="str">
        <f>IF(OR(EstimateType="STS Only",RiderC&lt;&gt;"Yes"),"NA ",'B - Rate DTS and Riders'!J56)</f>
        <v>NA </v>
      </c>
      <c r="I48" s="63" t="str">
        <f>IF(OR(EstimateType="STS Only",PrimaryServiceCredit&lt;&gt;"Yes",RiderC&lt;&gt;"Yes"),"NA ",'C - Rate PSC and Rider'!K29)</f>
        <v>NA </v>
      </c>
      <c r="J48" s="63" t="s">
        <v>91</v>
      </c>
      <c r="K48" s="63" t="str">
        <f>IF(OR(EstimateType="STS Only",RiderC&lt;&gt;"Yes"),"NA ",SUM(H48:J48))</f>
        <v>NA </v>
      </c>
    </row>
    <row r="49" spans="2:11" x14ac:dyDescent="0.25">
      <c r="B49" s="102" t="s">
        <v>95</v>
      </c>
      <c r="C49" s="93" t="s">
        <v>170</v>
      </c>
      <c r="H49" s="63" t="s">
        <v>91</v>
      </c>
      <c r="I49" s="63" t="s">
        <v>91</v>
      </c>
      <c r="J49" s="63" t="str">
        <f>IF(OR(EstimateType="DTS Only",RiderE&lt;&gt;"Yes"),"NA ",'D - Rate STS and Riders'!K29)</f>
        <v>NA </v>
      </c>
      <c r="K49" s="63" t="str">
        <f>IF(OR(EstimateType="DTS Only",RiderE&lt;&gt;"Yes"),"NA ",SUM(H49:J49))</f>
        <v>NA </v>
      </c>
    </row>
    <row r="50" spans="2:11" x14ac:dyDescent="0.25">
      <c r="B50" s="102" t="s">
        <v>96</v>
      </c>
      <c r="C50" s="93" t="s">
        <v>171</v>
      </c>
      <c r="H50" s="63" t="str">
        <f>IF(OR(EstimateType="STS Only",RiderF&lt;&gt;"Yes"),"NA ",'B - Rate DTS and Riders'!J59)</f>
        <v>NA </v>
      </c>
      <c r="I50" s="63" t="s">
        <v>91</v>
      </c>
      <c r="J50" s="63" t="s">
        <v>91</v>
      </c>
      <c r="K50" s="63" t="str">
        <f>IF(OR(EstimateType="STS Only",RiderF&lt;&gt;"Yes"),"NA ",SUM(H50:J50))</f>
        <v>NA </v>
      </c>
    </row>
    <row r="51" spans="2:11" x14ac:dyDescent="0.25">
      <c r="B51" s="102" t="s">
        <v>97</v>
      </c>
      <c r="C51" s="93" t="s">
        <v>172</v>
      </c>
      <c r="H51" s="63" t="s">
        <v>91</v>
      </c>
      <c r="I51" s="63" t="s">
        <v>91</v>
      </c>
      <c r="J51" s="63" t="str">
        <f>IF(OR(EstimateType="DTS Only",RiderJ&lt;&gt;"Yes"),"NA ",'D - Rate STS and Riders'!K32)</f>
        <v>NA </v>
      </c>
      <c r="K51" s="63" t="str">
        <f>IF(OR(EstimateType="DTS Only",RiderJ&lt;&gt;"Yes"),"NA ",SUM(H51:J51))</f>
        <v>NA </v>
      </c>
    </row>
    <row r="52" spans="2:11" ht="13" x14ac:dyDescent="0.3">
      <c r="B52" s="102" t="s">
        <v>98</v>
      </c>
      <c r="C52" s="6" t="s">
        <v>141</v>
      </c>
      <c r="D52" s="6"/>
      <c r="E52" s="6"/>
      <c r="F52" s="6"/>
      <c r="G52" s="6"/>
      <c r="H52" s="89">
        <f>IF(EstimateType="STS Only","NA ",SUM(H47:H51))</f>
        <v>371255.47587999998</v>
      </c>
      <c r="I52" s="89">
        <f>IF(EstimateType="STS Only","NA ",SUM(I47:I51))</f>
        <v>0</v>
      </c>
      <c r="J52" s="89" t="str">
        <f>IF(EstimateType="DTS Only","NA ",SUM(J47:J51))</f>
        <v>NA </v>
      </c>
      <c r="K52" s="89">
        <f>SUM(K47:K51)</f>
        <v>371255.47587999998</v>
      </c>
    </row>
    <row r="54" spans="2:11" ht="13" x14ac:dyDescent="0.3">
      <c r="B54" s="6" t="s">
        <v>93</v>
      </c>
      <c r="C54" s="6"/>
      <c r="D54" s="6"/>
      <c r="E54" s="6"/>
      <c r="F54" s="6"/>
      <c r="G54" s="6"/>
      <c r="H54" s="7" t="s">
        <v>70</v>
      </c>
      <c r="I54" s="7" t="s">
        <v>163</v>
      </c>
      <c r="J54" s="7" t="s">
        <v>71</v>
      </c>
      <c r="K54" s="7" t="s">
        <v>90</v>
      </c>
    </row>
    <row r="55" spans="2:11" x14ac:dyDescent="0.25">
      <c r="B55" s="5" t="s">
        <v>99</v>
      </c>
      <c r="C55" s="93" t="s">
        <v>169</v>
      </c>
      <c r="H55" s="63">
        <f>IF(H47="NA ","NA ",H47*12)</f>
        <v>4455065.7105599996</v>
      </c>
      <c r="I55" s="63" t="str">
        <f>IF(I47="NA ","NA ",I47*12)</f>
        <v>NA </v>
      </c>
      <c r="J55" s="63" t="str">
        <f>IF(J47="NA ","NA ",J47*12)</f>
        <v>NA </v>
      </c>
      <c r="K55" s="63">
        <f>SUM(H55:J55)</f>
        <v>4455065.7105599996</v>
      </c>
    </row>
    <row r="56" spans="2:11" x14ac:dyDescent="0.25">
      <c r="B56" s="5" t="s">
        <v>100</v>
      </c>
      <c r="C56" s="93" t="s">
        <v>164</v>
      </c>
      <c r="H56" s="63" t="str">
        <f>IF(H48="NA ","NA ",H48*12)</f>
        <v>NA </v>
      </c>
      <c r="I56" s="63" t="str">
        <f>IF(I48="NA ","NA ",I48*12)</f>
        <v>NA </v>
      </c>
      <c r="J56" s="63" t="s">
        <v>91</v>
      </c>
      <c r="K56" s="63" t="str">
        <f>IF(K48="NA ","NA ",SUM(H56:J56))</f>
        <v>NA </v>
      </c>
    </row>
    <row r="57" spans="2:11" x14ac:dyDescent="0.25">
      <c r="B57" s="5" t="s">
        <v>101</v>
      </c>
      <c r="C57" s="93" t="s">
        <v>170</v>
      </c>
      <c r="H57" s="63" t="s">
        <v>91</v>
      </c>
      <c r="I57" s="63" t="s">
        <v>91</v>
      </c>
      <c r="J57" s="63" t="str">
        <f>IF(J49="NA ","NA ",J49*12)</f>
        <v>NA </v>
      </c>
      <c r="K57" s="63" t="str">
        <f>IF(K49="NA ","NA ",SUM(H57:J57))</f>
        <v>NA </v>
      </c>
    </row>
    <row r="58" spans="2:11" x14ac:dyDescent="0.25">
      <c r="B58" s="5" t="s">
        <v>102</v>
      </c>
      <c r="C58" s="93" t="s">
        <v>171</v>
      </c>
      <c r="H58" s="63" t="str">
        <f>IF(H50="NA ","NA ",H50*12)</f>
        <v>NA </v>
      </c>
      <c r="I58" s="63" t="s">
        <v>91</v>
      </c>
      <c r="J58" s="63" t="s">
        <v>91</v>
      </c>
      <c r="K58" s="63" t="str">
        <f>IF(K50="NA ","NA ",SUM(H58:J58))</f>
        <v>NA </v>
      </c>
    </row>
    <row r="59" spans="2:11" x14ac:dyDescent="0.25">
      <c r="B59" s="5" t="s">
        <v>103</v>
      </c>
      <c r="C59" s="93" t="s">
        <v>172</v>
      </c>
      <c r="H59" s="63" t="s">
        <v>91</v>
      </c>
      <c r="I59" s="63" t="s">
        <v>91</v>
      </c>
      <c r="J59" s="63" t="str">
        <f>IF(J51="NA ","NA ",J51*12)</f>
        <v>NA </v>
      </c>
      <c r="K59" s="63" t="str">
        <f>IF(K51="NA ","NA ",SUM(H59:J59))</f>
        <v>NA </v>
      </c>
    </row>
    <row r="60" spans="2:11" ht="13" x14ac:dyDescent="0.3">
      <c r="B60" s="5" t="s">
        <v>104</v>
      </c>
      <c r="C60" s="6" t="s">
        <v>142</v>
      </c>
      <c r="D60" s="6"/>
      <c r="E60" s="6"/>
      <c r="F60" s="6"/>
      <c r="G60" s="6"/>
      <c r="H60" s="89">
        <f>IF(EstimateType="STS Only","NA ",SUM(H55:H59))</f>
        <v>4455065.7105599996</v>
      </c>
      <c r="I60" s="89">
        <f>IF(EstimateType="STS Only","NA ",SUM(I55:I59))</f>
        <v>0</v>
      </c>
      <c r="J60" s="89" t="str">
        <f>IF(J52="NA ","NA ",SUM(J55:J59))</f>
        <v>NA </v>
      </c>
      <c r="K60" s="89">
        <f>SUM(K55:K59)</f>
        <v>4455065.7105599996</v>
      </c>
    </row>
    <row r="61" spans="2:11" ht="13" x14ac:dyDescent="0.3">
      <c r="B61" s="5"/>
      <c r="C61" s="6"/>
      <c r="D61" s="6"/>
      <c r="E61" s="6"/>
      <c r="F61" s="6"/>
      <c r="G61" s="6"/>
      <c r="H61" s="149"/>
      <c r="I61" s="149"/>
      <c r="J61" s="149"/>
      <c r="K61" s="149"/>
    </row>
  </sheetData>
  <mergeCells count="14">
    <mergeCell ref="B8:K8"/>
    <mergeCell ref="D10:I10"/>
    <mergeCell ref="D11:I11"/>
    <mergeCell ref="D12:F12"/>
    <mergeCell ref="I24:J24"/>
    <mergeCell ref="J14:K14"/>
    <mergeCell ref="J15:K15"/>
    <mergeCell ref="J22:K22"/>
    <mergeCell ref="J16:K16"/>
    <mergeCell ref="J17:K17"/>
    <mergeCell ref="J18:K18"/>
    <mergeCell ref="J19:K19"/>
    <mergeCell ref="J20:K20"/>
    <mergeCell ref="J21:K21"/>
  </mergeCells>
  <phoneticPr fontId="3" type="noConversion"/>
  <conditionalFormatting sqref="I15">
    <cfRule type="expression" dxfId="32" priority="29" stopIfTrue="1">
      <formula>OR(LEFT($K$58,5)="Error",LEFT($K$59,5)="Error")</formula>
    </cfRule>
  </conditionalFormatting>
  <conditionalFormatting sqref="I16">
    <cfRule type="expression" dxfId="31" priority="30" stopIfTrue="1">
      <formula>AND(NewOrExpansion="New Service",NewOrExistingSub="Existing Substation",OtherParticipant="No")</formula>
    </cfRule>
  </conditionalFormatting>
  <conditionalFormatting sqref="I17">
    <cfRule type="expression" dxfId="30" priority="31" stopIfTrue="1">
      <formula>LEFT(#REF!,5)="Error"</formula>
    </cfRule>
  </conditionalFormatting>
  <conditionalFormatting sqref="K26:K27">
    <cfRule type="expression" dxfId="29" priority="32" stopIfTrue="1">
      <formula>OtherParticipant&lt;&gt;"Yes"</formula>
    </cfRule>
  </conditionalFormatting>
  <conditionalFormatting sqref="K28:K39">
    <cfRule type="expression" dxfId="28" priority="33" stopIfTrue="1">
      <formula>OtherParticipant&lt;&gt;"Yes"</formula>
    </cfRule>
  </conditionalFormatting>
  <conditionalFormatting sqref="J40">
    <cfRule type="expression" dxfId="27" priority="34" stopIfTrue="1">
      <formula>OR(AND(EstimateType&lt;&gt;"STS Only",EstimateType&lt;&gt;"DTS and STS"),RegulatedGeneratingUnit&lt;&gt;"Yes")</formula>
    </cfRule>
  </conditionalFormatting>
  <conditionalFormatting sqref="J29:J32 J37:J38">
    <cfRule type="expression" dxfId="26" priority="35" stopIfTrue="1">
      <formula>AND(EstimateType&lt;&gt;"STS Only",EstimateType&lt;&gt;"DTS and STS")</formula>
    </cfRule>
  </conditionalFormatting>
  <conditionalFormatting sqref="I26:I33 I35 I37">
    <cfRule type="expression" dxfId="25" priority="36" stopIfTrue="1">
      <formula>AND(EstimateType&lt;&gt;"DTS Only",EstimateType&lt;&gt;"DTS and STS")</formula>
    </cfRule>
  </conditionalFormatting>
  <conditionalFormatting sqref="I39">
    <cfRule type="expression" dxfId="24" priority="37" stopIfTrue="1">
      <formula>AND(EstimateType&lt;&gt;"DTS Only",EstimateType&lt;&gt;"DTS and STS")</formula>
    </cfRule>
  </conditionalFormatting>
  <conditionalFormatting sqref="I41">
    <cfRule type="expression" dxfId="23" priority="38" stopIfTrue="1">
      <formula>OR(AND(EstimateType&lt;&gt;"DTS Only",EstimateType&lt;&gt;"DTS and STS"),RiderC="No")</formula>
    </cfRule>
  </conditionalFormatting>
  <conditionalFormatting sqref="J42">
    <cfRule type="expression" dxfId="22" priority="39" stopIfTrue="1">
      <formula>OR(AND(EstimateType&lt;&gt;"STS Only",EstimateType&lt;&gt;"DTS and STS"),RiderE="No")</formula>
    </cfRule>
  </conditionalFormatting>
  <conditionalFormatting sqref="J34 J28">
    <cfRule type="expression" dxfId="21" priority="40" stopIfTrue="1">
      <formula>AND(EstimateType&lt;&gt;"STS Only",EstimateType&lt;&gt;"DTS and STS")</formula>
    </cfRule>
  </conditionalFormatting>
  <conditionalFormatting sqref="I34 I36">
    <cfRule type="expression" dxfId="20" priority="41" stopIfTrue="1">
      <formula>AND(EstimateType&lt;&gt;"DTS Only",EstimateType&lt;&gt;"DTS and STS")</formula>
    </cfRule>
  </conditionalFormatting>
  <conditionalFormatting sqref="J33 J36">
    <cfRule type="expression" dxfId="19" priority="42" stopIfTrue="1">
      <formula>AND(EstimateType&lt;&gt;"STS Only",EstimateType&lt;&gt;"DTS and STS")</formula>
    </cfRule>
  </conditionalFormatting>
  <conditionalFormatting sqref="I43">
    <cfRule type="expression" dxfId="18" priority="28" stopIfTrue="1">
      <formula>OR(AND(EstimateType&lt;&gt;"DTS Only",EstimateType&lt;&gt;"DTS and STS"),RiderF="No")</formula>
    </cfRule>
  </conditionalFormatting>
  <conditionalFormatting sqref="J44">
    <cfRule type="expression" dxfId="17" priority="22" stopIfTrue="1">
      <formula>OR(EstimateType="DTS Only",RiderJ="No")</formula>
    </cfRule>
  </conditionalFormatting>
  <conditionalFormatting sqref="J39">
    <cfRule type="expression" dxfId="16" priority="21" stopIfTrue="1">
      <formula>AND(EstimateType&lt;&gt;"STS Only",EstimateType&lt;&gt;"DTS and STS")</formula>
    </cfRule>
  </conditionalFormatting>
  <conditionalFormatting sqref="J26">
    <cfRule type="expression" dxfId="15" priority="20" stopIfTrue="1">
      <formula>AND(EstimateType&lt;&gt;"STS Only",EstimateType&lt;&gt;"DTS and STS")</formula>
    </cfRule>
  </conditionalFormatting>
  <conditionalFormatting sqref="J35">
    <cfRule type="expression" dxfId="14" priority="18" stopIfTrue="1">
      <formula>AND(EstimateType&lt;&gt;"STS Only",EstimateType&lt;&gt;"DTS and STS")</formula>
    </cfRule>
  </conditionalFormatting>
  <conditionalFormatting sqref="J41">
    <cfRule type="expression" dxfId="13" priority="17" stopIfTrue="1">
      <formula>OR(AND(EstimateType&lt;&gt;"STS Only",EstimateType&lt;&gt;"DTS and STS"),RiderC&lt;&gt;"Yes")</formula>
    </cfRule>
  </conditionalFormatting>
  <conditionalFormatting sqref="I42">
    <cfRule type="expression" dxfId="12" priority="16" stopIfTrue="1">
      <formula>OR(AND(EstimateType&lt;&gt;"DTS Only",EstimateType&lt;&gt;"DTS and STS"),RiderE&lt;&gt;"Yes")</formula>
    </cfRule>
  </conditionalFormatting>
  <conditionalFormatting sqref="J43">
    <cfRule type="expression" dxfId="11" priority="15" stopIfTrue="1">
      <formula>OR(AND(EstimateType&lt;&gt;"STS Only",EstimateType&lt;&gt;"DTS and STS"),RiderF&lt;&gt;"Yes")</formula>
    </cfRule>
  </conditionalFormatting>
  <conditionalFormatting sqref="I44">
    <cfRule type="expression" dxfId="10" priority="14" stopIfTrue="1">
      <formula>OR(AND(EstimateType&lt;&gt;"DTS Only",EstimateType&lt;&gt;"DTS and STS"),RiderJ&lt;&gt;"Yes")</formula>
    </cfRule>
  </conditionalFormatting>
  <conditionalFormatting sqref="I40">
    <cfRule type="expression" dxfId="9" priority="13" stopIfTrue="1">
      <formula>OR(AND(EstimateType&lt;&gt;"DTS Only",EstimateType&lt;&gt;"DTS and STS"),RegulatedGeneratingUnit&lt;&gt;"Yes")</formula>
    </cfRule>
  </conditionalFormatting>
  <conditionalFormatting sqref="J27">
    <cfRule type="expression" dxfId="8" priority="7" stopIfTrue="1">
      <formula>AND(EstimateType&lt;&gt;"STS Only",EstimateType&lt;&gt;"DTS and STS")</formula>
    </cfRule>
  </conditionalFormatting>
  <conditionalFormatting sqref="K40">
    <cfRule type="expression" dxfId="7" priority="6" stopIfTrue="1">
      <formula>OR(OtherParticipant&lt;&gt;"Yes",RegulatedGeneratingUnit&lt;&gt;"Yes")</formula>
    </cfRule>
  </conditionalFormatting>
  <conditionalFormatting sqref="K41">
    <cfRule type="expression" dxfId="6" priority="5" stopIfTrue="1">
      <formula>OR(OtherParticipant&lt;&gt;"Yes",RiderC&lt;&gt;"Yes")</formula>
    </cfRule>
  </conditionalFormatting>
  <conditionalFormatting sqref="K42">
    <cfRule type="expression" dxfId="5" priority="4" stopIfTrue="1">
      <formula>OR(OtherParticipant&lt;&gt;"Yes",RiderE&lt;&gt;"Yes")</formula>
    </cfRule>
  </conditionalFormatting>
  <conditionalFormatting sqref="K43">
    <cfRule type="expression" dxfId="4" priority="3" stopIfTrue="1">
      <formula>OR(OtherParticipant&lt;&gt;"Yes",RiderF&lt;&gt;"Yes")</formula>
    </cfRule>
  </conditionalFormatting>
  <conditionalFormatting sqref="K44">
    <cfRule type="expression" dxfId="3" priority="2" stopIfTrue="1">
      <formula>OR(OtherParticipant&lt;&gt;"Yes",RiderJ&lt;&gt;"Yes")</formula>
    </cfRule>
  </conditionalFormatting>
  <conditionalFormatting sqref="I38">
    <cfRule type="expression" dxfId="2" priority="1" stopIfTrue="1">
      <formula>AND(EstimateType&lt;&gt;"DTS Only",EstimateType&lt;&gt;"DTS and STS")</formula>
    </cfRule>
  </conditionalFormatting>
  <dataValidations xWindow="462" yWindow="699" count="30">
    <dataValidation allowBlank="1" showInputMessage="1" showErrorMessage="1" promptTitle="Market Participant" prompt="Enter name of market participant (customer) whose bill is being estimated." sqref="D10:I10" xr:uid="{00000000-0002-0000-0300-000000000000}"/>
    <dataValidation allowBlank="1" showInputMessage="1" showErrorMessage="1" promptTitle="Account" prompt="Enter settlement point ID, substation name, substation number or other identifying information." sqref="D11:I11" xr:uid="{00000000-0002-0000-0300-000001000000}"/>
    <dataValidation allowBlank="1" showInputMessage="1" showErrorMessage="1" promptTitle="Preparation Date" prompt="Enter the date on which the bill estimate is being prepared." sqref="D12:F12" xr:uid="{00000000-0002-0000-0300-000002000000}"/>
    <dataValidation type="list" showInputMessage="1" showErrorMessage="1" errorTitle="Type of Service" error="Please select type of service from list." promptTitle="Type of Service" prompt="Select type of system access service being provided to market participant." sqref="I15" xr:uid="{00000000-0002-0000-0300-000003000000}">
      <formula1>"DTS Only, STS Only, DTS and STS"</formula1>
    </dataValidation>
    <dataValidation type="list" showInputMessage="1" showErrorMessage="1" promptTitle="Other Market Participants" prompt="Select Yes if one or more other market participants receive service at the same substation under either Rate DTS or Rate STS." sqref="I16" xr:uid="{00000000-0002-0000-0300-000004000000}">
      <formula1>"Yes, No"</formula1>
    </dataValidation>
    <dataValidation type="list" showInputMessage="1" showErrorMessage="1" promptTitle="Primary Service Credit" prompt="Select Yes if the market participant receives the primary service credit for this service." sqref="I17" xr:uid="{00000000-0002-0000-0300-000005000000}">
      <formula1>"Yes, No"</formula1>
    </dataValidation>
    <dataValidation type="list" showInputMessage="1" showErrorMessage="1" promptTitle="Rider J" prompt="Select Yes if the bill estimate should include charges under Rider J, Wind Forecasting Service Cost Recovery Rider." sqref="I22" xr:uid="{00000000-0002-0000-0300-000006000000}">
      <formula1>"Yes, No"</formula1>
    </dataValidation>
    <dataValidation type="list" showInputMessage="1" showErrorMessage="1" promptTitle="Days in Month" prompt="Choose:_x000a_• 730 for average month,_x000a_• 744 for 31-day month,_x000a_• 720 for 30-day month, or_x000a_• 672 for February (or 696 in leap year)." sqref="J34" xr:uid="{00000000-0002-0000-0300-000007000000}">
      <formula1>"730, 744, 720, 672, 696"</formula1>
    </dataValidation>
    <dataValidation type="list" showInputMessage="1" showErrorMessage="1" promptTitle="Regulated Generating Unit" prompt="Select Yes if this is a regulated generating unit identified in Appendix A of the ISO tariff prior to the end of the applicable base life year provided in that Appendix." sqref="I18" xr:uid="{00000000-0002-0000-0300-000008000000}">
      <formula1>"Yes, No"</formula1>
    </dataValidation>
    <dataValidation type="list" showInputMessage="1" showErrorMessage="1" promptTitle="Rider C" prompt="Select Yes if the bill estimate should include charges or credits under Rider C, Deferral Account Adjustment Rider. Enter rider amounts on “B Rate DTS and Riders” sheet." sqref="I19" xr:uid="{00000000-0002-0000-0300-000009000000}">
      <formula1>"Yes, No"</formula1>
    </dataValidation>
    <dataValidation type="list" showInputMessage="1" showErrorMessage="1" promptTitle="Rider E" prompt="Select Yes if the bill estimate should include charges or credits under Rider E, Losses Calibration Factor Rider." sqref="I20" xr:uid="{00000000-0002-0000-0300-00000A000000}">
      <formula1>"Yes, No"</formula1>
    </dataValidation>
    <dataValidation type="list" showInputMessage="1" showErrorMessage="1" promptTitle="Rider F" prompt="Select Yes if the bill estimate should include credits under Rider F, Balancing Pool Consumer Allocation Rider." sqref="I21" xr:uid="{00000000-0002-0000-0300-00000B000000}">
      <formula1>"Yes, No"</formula1>
    </dataValidation>
    <dataValidation type="decimal" operator="greaterThanOrEqual" showInputMessage="1" showErrorMessage="1" errorTitle="Invalid Data" error="Contract capacity cannot be negative." promptTitle="Rate DTS Capacity" prompt="Enter Rate DTS contract capacity for demand transmission service at substation, in MW (megawatts), if applicable." sqref="I26" xr:uid="{00000000-0002-0000-0300-00000C000000}">
      <formula1>0</formula1>
    </dataValidation>
    <dataValidation type="decimal" operator="greaterThanOrEqual" showInputMessage="1" showErrorMessage="1" errorTitle="Invalid Data" error="Contract capacity cannot be negative." promptTitle="Rate STS Capacity" prompt="Enter Rate STS contract capacity for supply transmission service at substation, in MW (megawatts), if applicable." sqref="J26" xr:uid="{00000000-0002-0000-0300-00000D000000}">
      <formula1>0</formula1>
    </dataValidation>
    <dataValidation type="decimal" operator="greaterThanOrEqual" showInputMessage="1" showErrorMessage="1" errorTitle="Invalid Data" error="Contract capacity cannot be negative." promptTitle="Other Participant Capacity" prompt="Enter the total of all contract capacities for other market participants' services (Rate DTS, Rate STS, or SPRDA) at substation, in MW (megawatts), if applicable." sqref="K26" xr:uid="{00000000-0002-0000-0300-00000E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DTS metered demand during billing period, in MW (megawatts)." sqref="I28" xr:uid="{00000000-0002-0000-0300-00000F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STS metered demand during billing period, in MW (megawatts)." sqref="J28" xr:uid="{00000000-0002-0000-0300-000010000000}">
      <formula1>0</formula1>
    </dataValidation>
    <dataValidation type="decimal" showInputMessage="1" showErrorMessage="1" errorTitle="Invalid Data" error="Coincidence factor must be in range of 0% to 100%." promptTitle="Coincidence Factor" prompt="Enter percentage of highest Rate DTS metered demand in (k) which is on-line at time of system peak." sqref="I29" xr:uid="{00000000-0002-0000-0300-000011000000}">
      <formula1>0</formula1>
      <formula2>1</formula2>
    </dataValidation>
    <dataValidation type="custom" allowBlank="1" showInputMessage="1" showErrorMessage="1" errorTitle="Invalid Data" error="Highest previous demand cannot be less than Rate DTS highest metered demand in settlement period in (k)." promptTitle="Highest Previous Demand" prompt="Enter highest Rate DTS metered demand during past 24 months  (ending with current settlement period), in MW (megawatts)." sqref="I31" xr:uid="{00000000-0002-0000-0300-000012000000}">
      <formula1>AND(I31&gt;=0,I31&gt;=I28)</formula1>
    </dataValidation>
    <dataValidation type="decimal" showInputMessage="1" showErrorMessage="1" errorTitle="Invalid Data" error="Load factor must be in range of 0% to 100%." promptTitle="Load Factor" prompt="Enter average Rate DTS metered demand as percentage of highest Rate DTS metered demand during settlement period in (k)." sqref="I33" xr:uid="{00000000-0002-0000-0300-000013000000}">
      <formula1>0</formula1>
      <formula2>1</formula2>
    </dataValidation>
    <dataValidation type="decimal" showInputMessage="1" showErrorMessage="1" errorTitle="Invalid Data" error="Capacity factor must be in range of 0% to 100%." promptTitle="Capacity Factor" prompt="Enter average generation as percentage of highest Rate STS metered demand during settlement period in (k)." sqref="J33" xr:uid="{00000000-0002-0000-0300-000014000000}">
      <formula1>0</formula1>
      <formula2>1</formula2>
    </dataValidation>
    <dataValidation type="decimal" operator="greaterThanOrEqual" showInputMessage="1" showErrorMessage="1" errorTitle="Invalid Data" error="Pool price cannot be negative." promptTitle="Pool Price" prompt="Enter average pool price during settlement period, in $/MWh (dollars per megawatt-hour)." sqref="J36" xr:uid="{00000000-0002-0000-0300-000015000000}">
      <formula1>0</formula1>
    </dataValidation>
    <dataValidation type="decimal" showInputMessage="1" showErrorMessage="1" errorTitle="Invalid Data" error="Loss factor must be between –12% and +12% (section 31(2)(g) of Transmission Regulation)." promptTitle="Loss Factor" prompt="Enter location-specific percentage loss factor for Rate STS (system average is 3.61%)." sqref="J39" xr:uid="{00000000-0002-0000-0300-000016000000}">
      <formula1>-0.12</formula1>
      <formula2>0.12</formula2>
    </dataValidation>
    <dataValidation type="decimal" operator="greaterThanOrEqual" showInputMessage="1" showErrorMessage="1" errorTitle="Invalid Data" error="Regulated generating unit MW cannot be negative." promptTitle="Regulated Generating Unit MW" prompt="Enter the regulated generating unit MW from Appendix A of the ISO tariff, if applicable." sqref="J40" xr:uid="{00000000-0002-0000-0300-000017000000}">
      <formula1>0</formula1>
    </dataValidation>
    <dataValidation showInputMessage="1" promptTitle="Rider C Charge or Credit" prompt="Enter the percentage charge or credit by rate component on the “B Rate DTS and Riders” sheet, from the applicable Rider C quarterly deferral estimate on the AESO website." sqref="I41" xr:uid="{00000000-0002-0000-0300-000018000000}"/>
    <dataValidation type="decimal" showInputMessage="1" showErrorMessage="1" errorTitle="Invalid Data" error="Rider E adjustment must be between –12% and +12% (section 31(2)(g) of Transmission Regulation)." promptTitle="Rider E Adjustment" prompt="Enter the increase or decrease calculated in the applicable Rider E quarterly deferral estimate on the AESO website." sqref="J42" xr:uid="{00000000-0002-0000-0300-000019000000}">
      <formula1>-0.12</formula1>
      <formula2>0.12</formula2>
    </dataValidation>
    <dataValidation type="decimal" showInputMessage="1" showErrorMessage="1" errorTitle="Invalid Data" error="Rider F must be a number." promptTitle="Rider F Credit" prompt="Enter the credit for Rider F, Balancing Pool Consumer Allocation Rider." sqref="I43" xr:uid="{00000000-0002-0000-0300-00001A000000}">
      <formula1>-100</formula1>
      <formula2>100</formula2>
    </dataValidation>
    <dataValidation type="decimal" showInputMessage="1" showErrorMessage="1" errorTitle="Invalid Data" error="Rider J must be a number." promptTitle="Rider J Charge" prompt="Enter the charge for Rider J, Wind Forecasting Service Cost Recovery Rider." sqref="J44" xr:uid="{00000000-0002-0000-0300-00001B000000}">
      <formula1>-100</formula1>
      <formula2>100</formula2>
    </dataValidation>
    <dataValidation type="list" showInputMessage="1" showErrorMessage="1" promptTitle="Hours in Month" prompt="Choose:_x000a_• 730 for average month,_x000a_• 744 for 31-day month,_x000a_• 720 for 30-day month, or_x000a_• 672 for February (or 696 in leap year)." sqref="I34" xr:uid="{00000000-0002-0000-0300-00001C000000}">
      <formula1>"730, 744, 720, 672, 696"</formula1>
    </dataValidation>
    <dataValidation type="list" allowBlank="1" showInputMessage="1" showErrorMessage="1" sqref="K10" xr:uid="{00000000-0002-0000-0300-00001D000000}">
      <formula1>AESOTariff</formula1>
    </dataValidation>
  </dataValidations>
  <printOptions horizontalCentered="1"/>
  <pageMargins left="0.25" right="0.25" top="0.5" bottom="0.25" header="0.3" footer="0.3"/>
  <pageSetup orientation="portrait" r:id="rId1"/>
  <headerFooter alignWithMargins="0">
    <oddFooter>&amp;L&amp;8Attachment to ISO Tariff - Bill Estimator (AESO ID #2023-015T)
Filename: &amp;F — Page&amp;P of &amp;N&amp;R&amp;8Confidentiality: Proprietary When Completed</oddFooter>
  </headerFooter>
  <ignoredErrors>
    <ignoredError sqref="I36:I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8:L61"/>
  <sheetViews>
    <sheetView showGridLines="0" workbookViewId="0">
      <selection activeCell="Q41" sqref="Q41"/>
    </sheetView>
  </sheetViews>
  <sheetFormatPr defaultColWidth="9.54296875" defaultRowHeight="12.5" x14ac:dyDescent="0.25"/>
  <cols>
    <col min="1" max="1" width="7.453125" style="4" customWidth="1"/>
    <col min="2" max="2" width="8.453125" style="4" customWidth="1"/>
    <col min="3" max="3" width="9.54296875" style="4" customWidth="1"/>
    <col min="4" max="4" width="8.54296875" style="4" customWidth="1"/>
    <col min="5" max="5" width="7.90625" style="4" bestFit="1" customWidth="1"/>
    <col min="6" max="6" width="11.08984375" style="4" customWidth="1"/>
    <col min="7" max="7" width="11.453125" style="4" customWidth="1"/>
    <col min="8" max="9" width="10.453125" style="4" customWidth="1"/>
    <col min="10" max="10" width="13.36328125" style="4" customWidth="1"/>
    <col min="11" max="16384" width="9.54296875" style="4"/>
  </cols>
  <sheetData>
    <row r="8" spans="1:10" s="2" customFormat="1" ht="25.4" customHeight="1" x14ac:dyDescent="0.5">
      <c r="A8" s="168" t="str">
        <f>"Attachment B: Rate DTS Bill Estimate Under "&amp;RIGHT('A - Inputs and Summary'!K10,4)&amp;" ISO Tariff"</f>
        <v>Attachment B: Rate DTS Bill Estimate Under 2023 ISO Tariff</v>
      </c>
      <c r="B8" s="168"/>
      <c r="C8" s="168"/>
      <c r="D8" s="168"/>
      <c r="E8" s="168"/>
      <c r="F8" s="168"/>
      <c r="G8" s="168"/>
      <c r="H8" s="168"/>
      <c r="I8" s="168"/>
      <c r="J8" s="168"/>
    </row>
    <row r="9" spans="1:10" s="3" customFormat="1" ht="7.25" customHeight="1" x14ac:dyDescent="0.2"/>
    <row r="10" spans="1:10" ht="13" x14ac:dyDescent="0.3">
      <c r="A10" s="93" t="s">
        <v>202</v>
      </c>
      <c r="C10" s="181" t="str">
        <f>ParticipantName</f>
        <v>Name of Market Participant</v>
      </c>
      <c r="D10" s="181"/>
      <c r="E10" s="181"/>
      <c r="F10" s="181"/>
      <c r="G10" s="181"/>
      <c r="H10" s="181"/>
      <c r="I10" s="48" t="s">
        <v>0</v>
      </c>
      <c r="J10" s="157" t="str">
        <f>'A - Inputs and Summary'!K10</f>
        <v>AESO 2023</v>
      </c>
    </row>
    <row r="11" spans="1:10" ht="13" x14ac:dyDescent="0.3">
      <c r="A11" s="4" t="s">
        <v>21</v>
      </c>
      <c r="C11" s="182" t="str">
        <f>AccountID</f>
        <v>Account ID</v>
      </c>
      <c r="D11" s="182"/>
      <c r="E11" s="182"/>
      <c r="F11" s="182"/>
      <c r="G11" s="182"/>
      <c r="H11" s="182"/>
      <c r="I11" s="48" t="s">
        <v>1</v>
      </c>
      <c r="J11" s="156">
        <f>'A - Inputs and Summary'!K11</f>
        <v>44927</v>
      </c>
    </row>
    <row r="12" spans="1:10" x14ac:dyDescent="0.25">
      <c r="A12" s="4" t="s">
        <v>5</v>
      </c>
      <c r="C12" s="180" t="str">
        <f>PreparationDate</f>
        <v>Date Prepared</v>
      </c>
      <c r="D12" s="180"/>
      <c r="E12" s="180"/>
      <c r="F12" s="57"/>
      <c r="G12" s="46"/>
      <c r="H12" s="47"/>
      <c r="I12" s="48" t="s">
        <v>2</v>
      </c>
      <c r="J12" s="156" t="str">
        <f>'A - Inputs and Summary'!K12</f>
        <v>current</v>
      </c>
    </row>
    <row r="13" spans="1:10" x14ac:dyDescent="0.25">
      <c r="J13" s="10"/>
    </row>
    <row r="14" spans="1:10" ht="13" x14ac:dyDescent="0.3">
      <c r="B14" s="173" t="s">
        <v>63</v>
      </c>
      <c r="C14" s="173"/>
      <c r="D14" s="173"/>
      <c r="E14" s="173"/>
      <c r="F14" s="173"/>
      <c r="G14" s="7" t="s">
        <v>6</v>
      </c>
      <c r="H14" s="173" t="s">
        <v>46</v>
      </c>
      <c r="I14" s="173"/>
    </row>
    <row r="15" spans="1:10" x14ac:dyDescent="0.25">
      <c r="B15" s="48" t="str">
        <f>'A - Inputs and Summary'!B27</f>
        <v>(j)</v>
      </c>
      <c r="C15" s="4" t="s">
        <v>43</v>
      </c>
      <c r="G15" s="10" t="s">
        <v>123</v>
      </c>
      <c r="H15" s="51">
        <f>IF(EstimateType="STS Only","NA",'A - Inputs and Summary'!I27)</f>
        <v>1</v>
      </c>
      <c r="I15" s="12"/>
    </row>
    <row r="16" spans="1:10" x14ac:dyDescent="0.25">
      <c r="B16" s="48" t="str">
        <f>'A - Inputs and Summary'!B28</f>
        <v>(k)</v>
      </c>
      <c r="C16" s="4" t="s">
        <v>51</v>
      </c>
      <c r="G16" s="10" t="s">
        <v>123</v>
      </c>
      <c r="H16" s="49">
        <f>IF(EstimateType="STS Only","NA",'A - Inputs and Summary'!I28)</f>
        <v>20</v>
      </c>
      <c r="I16" s="12" t="str">
        <f>IF(EstimateType="STS Only","","MW")</f>
        <v>MW</v>
      </c>
    </row>
    <row r="17" spans="1:10" x14ac:dyDescent="0.25">
      <c r="B17" s="48" t="s">
        <v>78</v>
      </c>
      <c r="C17" s="4" t="s">
        <v>29</v>
      </c>
      <c r="G17" s="55" t="s">
        <v>66</v>
      </c>
      <c r="H17" s="49">
        <f>IF(EstimateType="STS Only","NA",'A - Inputs and Summary'!I30)</f>
        <v>15</v>
      </c>
      <c r="I17" s="12" t="str">
        <f>IF(EstimateType="STS Only","","MW")</f>
        <v>MW</v>
      </c>
    </row>
    <row r="18" spans="1:10" x14ac:dyDescent="0.25">
      <c r="B18" s="48" t="str">
        <f>'A - Inputs and Summary'!B32</f>
        <v>(o)</v>
      </c>
      <c r="C18" s="4" t="s">
        <v>31</v>
      </c>
      <c r="G18" s="10" t="s">
        <v>123</v>
      </c>
      <c r="H18" s="49">
        <f>IF(EstimateType="STS Only","NA",'A - Inputs and Summary'!I32)</f>
        <v>20</v>
      </c>
      <c r="I18" s="12" t="str">
        <f>IF(EstimateType="STS Only","","MW")</f>
        <v>MW</v>
      </c>
    </row>
    <row r="19" spans="1:10" x14ac:dyDescent="0.25">
      <c r="B19" s="48" t="str">
        <f>'A - Inputs and Summary'!B35</f>
        <v>(r)</v>
      </c>
      <c r="C19" s="4" t="s">
        <v>30</v>
      </c>
      <c r="G19" s="10" t="s">
        <v>123</v>
      </c>
      <c r="H19" s="50">
        <f>IF(EstimateType="STS Only","NA",'A - Inputs and Summary'!I35)</f>
        <v>9490</v>
      </c>
      <c r="I19" s="12" t="str">
        <f>IF(EstimateType="STS Only","","MWh")</f>
        <v>MWh</v>
      </c>
    </row>
    <row r="20" spans="1:10" x14ac:dyDescent="0.25">
      <c r="B20" s="48" t="str">
        <f>'A - Inputs and Summary'!B36</f>
        <v>(s)</v>
      </c>
      <c r="C20" s="4" t="s">
        <v>65</v>
      </c>
      <c r="G20" s="10" t="s">
        <v>123</v>
      </c>
      <c r="H20" s="144">
        <f>'A - Inputs and Summary'!I36</f>
        <v>94.34</v>
      </c>
      <c r="I20" s="53" t="str">
        <f>IF(EstimateType="STS Only","","/MWh")</f>
        <v>/MWh</v>
      </c>
    </row>
    <row r="21" spans="1:10" x14ac:dyDescent="0.25">
      <c r="B21" s="48" t="str">
        <f>'A - Inputs and Summary'!B37</f>
        <v>(t)</v>
      </c>
      <c r="C21" s="4" t="s">
        <v>111</v>
      </c>
      <c r="G21" s="142" t="s">
        <v>112</v>
      </c>
      <c r="H21" s="145">
        <f>'A - Inputs and Summary'!I37</f>
        <v>5.1799999999999999E-2</v>
      </c>
      <c r="I21" s="53"/>
    </row>
    <row r="22" spans="1:10" x14ac:dyDescent="0.25">
      <c r="B22" s="56" t="str">
        <f>'A - Inputs and Summary'!B38</f>
        <v>(u)</v>
      </c>
      <c r="C22" s="4" t="s">
        <v>52</v>
      </c>
      <c r="G22" s="143" t="s">
        <v>146</v>
      </c>
      <c r="H22" s="146">
        <f>IF(EstimateType="STS Only","NA",'A - Inputs and Summary'!I38)</f>
        <v>0</v>
      </c>
      <c r="I22" s="12" t="str">
        <f>IF(EstimateType="STS Only","","MVA")</f>
        <v>MVA</v>
      </c>
    </row>
    <row r="24" spans="1:10" ht="13" x14ac:dyDescent="0.3">
      <c r="A24" s="179" t="s">
        <v>64</v>
      </c>
      <c r="B24" s="179"/>
      <c r="C24" s="179"/>
      <c r="D24" s="179"/>
      <c r="E24" s="179"/>
      <c r="F24" s="179" t="s">
        <v>45</v>
      </c>
      <c r="G24" s="179"/>
      <c r="H24" s="179" t="s">
        <v>46</v>
      </c>
      <c r="I24" s="179"/>
      <c r="J24" s="54" t="s">
        <v>7</v>
      </c>
    </row>
    <row r="25" spans="1:10" s="93" customFormat="1" ht="13" x14ac:dyDescent="0.3">
      <c r="A25" s="176" t="s">
        <v>57</v>
      </c>
      <c r="B25" s="177"/>
      <c r="C25" s="177"/>
      <c r="D25" s="177"/>
      <c r="E25" s="177"/>
      <c r="F25" s="177"/>
      <c r="G25" s="177"/>
      <c r="H25" s="177"/>
      <c r="I25" s="177"/>
      <c r="J25" s="178"/>
    </row>
    <row r="26" spans="1:10" ht="13" x14ac:dyDescent="0.3">
      <c r="A26" s="6" t="s">
        <v>35</v>
      </c>
      <c r="C26" s="6"/>
      <c r="D26" s="6"/>
      <c r="E26" s="6"/>
      <c r="F26" s="6"/>
      <c r="G26" s="11"/>
      <c r="H26" s="65"/>
      <c r="I26" s="6"/>
      <c r="J26" s="13"/>
    </row>
    <row r="27" spans="1:10" ht="13" x14ac:dyDescent="0.3">
      <c r="A27" s="39" t="s">
        <v>28</v>
      </c>
      <c r="B27" s="40"/>
      <c r="C27" s="40"/>
      <c r="D27" s="40"/>
      <c r="E27" s="40"/>
      <c r="F27" s="41"/>
      <c r="G27" s="42"/>
      <c r="H27" s="66"/>
      <c r="I27" s="40"/>
      <c r="J27" s="79"/>
    </row>
    <row r="28" spans="1:10" x14ac:dyDescent="0.25">
      <c r="A28" s="20" t="s">
        <v>204</v>
      </c>
      <c r="B28" s="21" t="s">
        <v>29</v>
      </c>
      <c r="C28" s="21"/>
      <c r="D28" s="21"/>
      <c r="E28" s="21"/>
      <c r="F28" s="137">
        <f>INDEX(Lookup!$C$4:$Z$4,1,MATCH($J$10,Lookup!$C$1:$Z$1,0))</f>
        <v>10840</v>
      </c>
      <c r="G28" s="22" t="s">
        <v>49</v>
      </c>
      <c r="H28" s="67">
        <f>H17</f>
        <v>15</v>
      </c>
      <c r="I28" s="22" t="str">
        <f>I17</f>
        <v>MW</v>
      </c>
      <c r="J28" s="80">
        <f>IF(EstimateType="STS Only","NA ",F28*H28)</f>
        <v>162600</v>
      </c>
    </row>
    <row r="29" spans="1:10" x14ac:dyDescent="0.25">
      <c r="A29" s="23" t="s">
        <v>205</v>
      </c>
      <c r="B29" s="24" t="s">
        <v>30</v>
      </c>
      <c r="C29" s="24"/>
      <c r="D29" s="24"/>
      <c r="E29" s="24"/>
      <c r="F29" s="137">
        <f>INDEX(Lookup!$C$5:$Z$5,1,MATCH($J$10,Lookup!$C$1:$Z$1,0))</f>
        <v>1.18</v>
      </c>
      <c r="G29" s="25" t="s">
        <v>47</v>
      </c>
      <c r="H29" s="68">
        <f>H19</f>
        <v>9490</v>
      </c>
      <c r="I29" s="25" t="str">
        <f>I19</f>
        <v>MWh</v>
      </c>
      <c r="J29" s="81">
        <f>IF(EstimateType="STS Only","NA ",F29*H29)</f>
        <v>11198.199999999999</v>
      </c>
    </row>
    <row r="30" spans="1:10" ht="13" x14ac:dyDescent="0.3">
      <c r="A30" s="43" t="s">
        <v>147</v>
      </c>
      <c r="B30" s="44"/>
      <c r="C30" s="44"/>
      <c r="D30" s="44"/>
      <c r="E30" s="44"/>
      <c r="F30" s="45"/>
      <c r="G30" s="44"/>
      <c r="H30" s="69"/>
      <c r="I30" s="44"/>
      <c r="J30" s="82"/>
    </row>
    <row r="31" spans="1:10" x14ac:dyDescent="0.25">
      <c r="A31" s="20" t="s">
        <v>206</v>
      </c>
      <c r="B31" s="21" t="s">
        <v>31</v>
      </c>
      <c r="C31" s="21"/>
      <c r="D31" s="21"/>
      <c r="E31" s="21"/>
      <c r="F31" s="137">
        <f>INDEX(Lookup!$C$6:$Z$6,1,MATCH($J$10,Lookup!$C$1:$Z$1,0))</f>
        <v>2844</v>
      </c>
      <c r="G31" s="22" t="s">
        <v>49</v>
      </c>
      <c r="H31" s="67">
        <f>H18</f>
        <v>20</v>
      </c>
      <c r="I31" s="22" t="str">
        <f>I18</f>
        <v>MW</v>
      </c>
      <c r="J31" s="80">
        <f>IF(EstimateType="STS Only","NA ",F31*H31)</f>
        <v>56880</v>
      </c>
    </row>
    <row r="32" spans="1:10" x14ac:dyDescent="0.25">
      <c r="A32" s="23" t="s">
        <v>207</v>
      </c>
      <c r="B32" s="24" t="s">
        <v>30</v>
      </c>
      <c r="C32" s="24"/>
      <c r="D32" s="24"/>
      <c r="E32" s="24"/>
      <c r="F32" s="137">
        <f>INDEX(Lookup!$C$7:$Z$7,1,MATCH($J$10,Lookup!$C$1:$Z$1,0))</f>
        <v>0.9</v>
      </c>
      <c r="G32" s="25" t="s">
        <v>47</v>
      </c>
      <c r="H32" s="68">
        <f>H19</f>
        <v>9490</v>
      </c>
      <c r="I32" s="25" t="str">
        <f>I19</f>
        <v>MWh</v>
      </c>
      <c r="J32" s="81">
        <f>IF(EstimateType="STS Only","NA ",F32*H32)</f>
        <v>8541</v>
      </c>
    </row>
    <row r="33" spans="1:12" ht="13" x14ac:dyDescent="0.3">
      <c r="A33" s="43" t="s">
        <v>32</v>
      </c>
      <c r="B33" s="44"/>
      <c r="C33" s="44"/>
      <c r="D33" s="44"/>
      <c r="E33" s="44"/>
      <c r="F33" s="45"/>
      <c r="G33" s="44"/>
      <c r="H33" s="69"/>
      <c r="I33" s="44"/>
      <c r="J33" s="82"/>
    </row>
    <row r="34" spans="1:12" x14ac:dyDescent="0.25">
      <c r="A34" s="20" t="s">
        <v>208</v>
      </c>
      <c r="B34" s="21" t="s">
        <v>33</v>
      </c>
      <c r="C34" s="21"/>
      <c r="D34" s="21"/>
      <c r="E34" s="21"/>
      <c r="F34" s="137">
        <f>INDEX(Lookup!$C$8:$Z$8,1,MATCH($J$10,Lookup!$C$1:$Z$1,0))</f>
        <v>14728</v>
      </c>
      <c r="G34" s="22" t="s">
        <v>48</v>
      </c>
      <c r="H34" s="70">
        <f>IF(EstimateType="STS Only","NA",H15)</f>
        <v>1</v>
      </c>
      <c r="I34" s="21"/>
      <c r="J34" s="80">
        <f>IF(EstimateType="STS Only","NA ",F34*H34)</f>
        <v>14728</v>
      </c>
    </row>
    <row r="35" spans="1:12" x14ac:dyDescent="0.25">
      <c r="A35" s="20" t="s">
        <v>209</v>
      </c>
      <c r="B35" s="21" t="s">
        <v>40</v>
      </c>
      <c r="C35" s="21"/>
      <c r="D35" s="21"/>
      <c r="E35" s="21"/>
      <c r="F35" s="137">
        <f>INDEX(Lookup!$C$9:$Z$9,1,MATCH($J$10,Lookup!$C$1:$Z$1,0))</f>
        <v>4847</v>
      </c>
      <c r="G35" s="22" t="s">
        <v>49</v>
      </c>
      <c r="H35" s="67">
        <f>IF(EstimateType="STS Only","NA",MIN(H18,7.5*H15))</f>
        <v>7.5</v>
      </c>
      <c r="I35" s="22" t="str">
        <f>I18</f>
        <v>MW</v>
      </c>
      <c r="J35" s="80">
        <f>IF(EstimateType="STS Only","NA ",F35*H35)</f>
        <v>36352.5</v>
      </c>
    </row>
    <row r="36" spans="1:12" x14ac:dyDescent="0.25">
      <c r="A36" s="20" t="s">
        <v>210</v>
      </c>
      <c r="B36" s="21" t="s">
        <v>41</v>
      </c>
      <c r="C36" s="21"/>
      <c r="D36" s="21"/>
      <c r="E36" s="21"/>
      <c r="F36" s="137">
        <f>INDEX(Lookup!$C$10:$Z$10,1,MATCH($J$10,Lookup!$C$1:$Z$1,0))</f>
        <v>2875</v>
      </c>
      <c r="G36" s="22" t="s">
        <v>49</v>
      </c>
      <c r="H36" s="67">
        <f>IF(EstimateType="STS Only","NA",MAX(MIN(H18,17*H15)-(7.5*H15),0))</f>
        <v>9.5</v>
      </c>
      <c r="I36" s="22" t="str">
        <f>I18</f>
        <v>MW</v>
      </c>
      <c r="J36" s="80">
        <f>IF(EstimateType="STS Only","NA ",F36*H36)</f>
        <v>27312.5</v>
      </c>
    </row>
    <row r="37" spans="1:12" x14ac:dyDescent="0.25">
      <c r="A37" s="20" t="s">
        <v>211</v>
      </c>
      <c r="B37" s="21" t="s">
        <v>42</v>
      </c>
      <c r="C37" s="21"/>
      <c r="D37" s="21"/>
      <c r="E37" s="21"/>
      <c r="F37" s="137">
        <f>INDEX(Lookup!$C$11:$Z$11,1,MATCH($J$10,Lookup!$C$1:$Z$1,0))</f>
        <v>1924</v>
      </c>
      <c r="G37" s="22" t="s">
        <v>49</v>
      </c>
      <c r="H37" s="67">
        <f>IF(EstimateType="STS Only","NA",MAX(MIN(H18,40*H15)-(17*H15),0))</f>
        <v>3</v>
      </c>
      <c r="I37" s="22" t="str">
        <f>I18</f>
        <v>MW</v>
      </c>
      <c r="J37" s="80">
        <f>IF(EstimateType="STS Only","NA ",F37*H37)</f>
        <v>5772</v>
      </c>
    </row>
    <row r="38" spans="1:12" x14ac:dyDescent="0.25">
      <c r="A38" s="32" t="s">
        <v>212</v>
      </c>
      <c r="B38" s="30" t="s">
        <v>34</v>
      </c>
      <c r="C38" s="30"/>
      <c r="D38" s="30"/>
      <c r="E38" s="30"/>
      <c r="F38" s="138">
        <f>INDEX(Lookup!$C$12:$Z$12,1,MATCH($J$10,Lookup!$C$1:$Z$1,0))</f>
        <v>1185</v>
      </c>
      <c r="G38" s="31" t="s">
        <v>49</v>
      </c>
      <c r="H38" s="71">
        <f>IF(EstimateType="STS Only","NA",MAX(H18-(40*H15),0))</f>
        <v>0</v>
      </c>
      <c r="I38" s="31" t="str">
        <f>I18</f>
        <v>MW</v>
      </c>
      <c r="J38" s="83">
        <f>IF(EstimateType="STS Only","NA ",F38*H38)</f>
        <v>0</v>
      </c>
    </row>
    <row r="39" spans="1:12" s="21" customFormat="1" ht="13" x14ac:dyDescent="0.3">
      <c r="A39" s="27" t="s">
        <v>36</v>
      </c>
      <c r="C39" s="27"/>
      <c r="D39" s="27"/>
      <c r="E39" s="27"/>
      <c r="F39" s="27"/>
      <c r="G39" s="28"/>
      <c r="H39" s="72"/>
      <c r="I39" s="27"/>
      <c r="J39" s="29"/>
    </row>
    <row r="40" spans="1:12" s="21" customFormat="1" x14ac:dyDescent="0.25">
      <c r="A40" s="14" t="s">
        <v>105</v>
      </c>
      <c r="B40" s="15" t="s">
        <v>30</v>
      </c>
      <c r="C40" s="15"/>
      <c r="D40" s="77" t="s">
        <v>50</v>
      </c>
      <c r="E40" s="97">
        <f>IF(EstimateType="STS Only","×  NA",H21)</f>
        <v>5.1799999999999999E-2</v>
      </c>
      <c r="F40" s="78">
        <f>IF(EstimateType="STS Only","=         NA",H20*E40)</f>
        <v>4.8868119999999999</v>
      </c>
      <c r="G40" s="76" t="s">
        <v>47</v>
      </c>
      <c r="H40" s="73">
        <f>H19</f>
        <v>9490</v>
      </c>
      <c r="I40" s="16" t="str">
        <f>I19</f>
        <v>MWh</v>
      </c>
      <c r="J40" s="84">
        <f>IF(EstimateType="STS Only","NA ",F40*H40)</f>
        <v>46375.845880000001</v>
      </c>
    </row>
    <row r="41" spans="1:12" s="21" customFormat="1" ht="13" x14ac:dyDescent="0.3">
      <c r="A41" s="27" t="s">
        <v>148</v>
      </c>
      <c r="C41" s="27"/>
      <c r="D41" s="27"/>
      <c r="E41" s="27"/>
      <c r="F41" s="27"/>
      <c r="G41" s="27"/>
      <c r="H41" s="72"/>
      <c r="I41" s="27"/>
      <c r="J41" s="29"/>
    </row>
    <row r="42" spans="1:12" s="21" customFormat="1" x14ac:dyDescent="0.25">
      <c r="A42" s="14" t="s">
        <v>37</v>
      </c>
      <c r="B42" s="15" t="s">
        <v>30</v>
      </c>
      <c r="C42" s="15"/>
      <c r="D42" s="15"/>
      <c r="E42" s="15"/>
      <c r="F42" s="139">
        <f>INDEX(Lookup!$C$20:$Z$20,1,MATCH($J$10,Lookup!$C$1:$Z$1,0))</f>
        <v>1.7000000000000001E-2</v>
      </c>
      <c r="G42" s="16" t="s">
        <v>47</v>
      </c>
      <c r="H42" s="73">
        <f>H19</f>
        <v>9490</v>
      </c>
      <c r="I42" s="16" t="str">
        <f>I18</f>
        <v>MW</v>
      </c>
      <c r="J42" s="84">
        <f>IF(EstimateType="STS Only","NA ",F42*H42)</f>
        <v>161.33000000000001</v>
      </c>
    </row>
    <row r="43" spans="1:12" s="21" customFormat="1" ht="13" x14ac:dyDescent="0.3">
      <c r="A43" s="27" t="s">
        <v>38</v>
      </c>
      <c r="C43" s="27"/>
      <c r="D43" s="27"/>
      <c r="E43" s="27"/>
      <c r="F43" s="27"/>
      <c r="G43" s="27"/>
      <c r="H43" s="72"/>
      <c r="I43" s="27"/>
      <c r="J43" s="29"/>
    </row>
    <row r="44" spans="1:12" s="21" customFormat="1" x14ac:dyDescent="0.25">
      <c r="A44" s="103" t="s">
        <v>143</v>
      </c>
      <c r="B44" s="15" t="s">
        <v>30</v>
      </c>
      <c r="C44" s="15"/>
      <c r="D44" s="15"/>
      <c r="E44" s="15"/>
      <c r="F44" s="136">
        <f>INDEX(Lookup!$C$21:$Z$21,1,MATCH($J$10,Lookup!$C$1:$Z$1,0))</f>
        <v>0.09</v>
      </c>
      <c r="G44" s="16" t="s">
        <v>47</v>
      </c>
      <c r="H44" s="73">
        <f>H19</f>
        <v>9490</v>
      </c>
      <c r="I44" s="16" t="str">
        <f>I19</f>
        <v>MWh</v>
      </c>
      <c r="J44" s="84">
        <f>IF(EstimateType="STS Only","NA ",F44*H44)</f>
        <v>854.1</v>
      </c>
    </row>
    <row r="45" spans="1:12" s="21" customFormat="1" ht="13" x14ac:dyDescent="0.3">
      <c r="A45" s="27" t="s">
        <v>39</v>
      </c>
      <c r="B45" s="27"/>
      <c r="C45" s="27"/>
      <c r="D45" s="27"/>
      <c r="E45" s="27"/>
      <c r="F45" s="140"/>
      <c r="G45" s="27"/>
      <c r="H45" s="72"/>
      <c r="I45" s="27"/>
      <c r="J45" s="29"/>
    </row>
    <row r="46" spans="1:12" s="21" customFormat="1" x14ac:dyDescent="0.25">
      <c r="A46" s="104" t="s">
        <v>144</v>
      </c>
      <c r="B46" s="18" t="s">
        <v>51</v>
      </c>
      <c r="C46" s="18"/>
      <c r="D46" s="18"/>
      <c r="E46" s="18"/>
      <c r="F46" s="141">
        <f>INDEX(Lookup!$C$22:$Z$22,1,MATCH($J$10,Lookup!$C$1:$Z$1,0))</f>
        <v>24</v>
      </c>
      <c r="G46" s="19" t="s">
        <v>49</v>
      </c>
      <c r="H46" s="74">
        <f>H16</f>
        <v>20</v>
      </c>
      <c r="I46" s="19" t="str">
        <f>I16</f>
        <v>MW</v>
      </c>
      <c r="J46" s="85">
        <f>IF(EstimateType="STS Only","NA ",F46*H46)</f>
        <v>480</v>
      </c>
    </row>
    <row r="47" spans="1:12" s="21" customFormat="1" x14ac:dyDescent="0.25">
      <c r="A47" s="105" t="s">
        <v>145</v>
      </c>
      <c r="B47" s="30" t="s">
        <v>52</v>
      </c>
      <c r="C47" s="30"/>
      <c r="D47" s="30"/>
      <c r="E47" s="30"/>
      <c r="F47" s="138">
        <f>INDEX(Lookup!$C$24:$Z$24,1,MATCH($J$10,Lookup!$C$1:$Z$1,0))</f>
        <v>400</v>
      </c>
      <c r="G47" s="31" t="s">
        <v>53</v>
      </c>
      <c r="H47" s="71">
        <f>H22</f>
        <v>0</v>
      </c>
      <c r="I47" s="31" t="str">
        <f>I22</f>
        <v>MVA</v>
      </c>
      <c r="J47" s="83">
        <f>IF(EstimateType="STS Only","NA ",F47*H47)</f>
        <v>0</v>
      </c>
      <c r="L47" s="109"/>
    </row>
    <row r="48" spans="1:12" s="21" customFormat="1" ht="13" x14ac:dyDescent="0.3">
      <c r="A48" s="33" t="s">
        <v>61</v>
      </c>
      <c r="B48" s="34"/>
      <c r="C48" s="34"/>
      <c r="D48" s="34"/>
      <c r="E48" s="34"/>
      <c r="F48" s="35"/>
      <c r="G48" s="36"/>
      <c r="H48" s="75"/>
      <c r="I48" s="36"/>
      <c r="J48" s="86">
        <f>IF(EstimateType="STS Only","NA ",SUM(J27:J47))</f>
        <v>371255.47587999998</v>
      </c>
    </row>
    <row r="49" spans="1:10" s="21" customFormat="1" ht="9" customHeight="1" x14ac:dyDescent="0.25">
      <c r="J49" s="26"/>
    </row>
    <row r="50" spans="1:10" s="93" customFormat="1" ht="13" x14ac:dyDescent="0.3">
      <c r="A50" s="176" t="s">
        <v>59</v>
      </c>
      <c r="B50" s="177"/>
      <c r="C50" s="177"/>
      <c r="D50" s="177"/>
      <c r="E50" s="177"/>
      <c r="F50" s="177"/>
      <c r="G50" s="177"/>
      <c r="H50" s="177"/>
      <c r="I50" s="177"/>
      <c r="J50" s="178"/>
    </row>
    <row r="51" spans="1:10" x14ac:dyDescent="0.25">
      <c r="A51" s="17" t="s">
        <v>221</v>
      </c>
      <c r="B51" s="108" t="s">
        <v>151</v>
      </c>
      <c r="C51" s="18"/>
      <c r="D51" s="18"/>
      <c r="E51" s="18"/>
      <c r="F51" s="114">
        <v>0</v>
      </c>
      <c r="G51" s="19"/>
      <c r="H51" s="111" t="str">
        <f>IF(OR(EstimateType="STS Only",RiderC&lt;&gt;"Yes"),"NA",SUM(J27:J38))</f>
        <v>NA</v>
      </c>
      <c r="I51" s="18"/>
      <c r="J51" s="85" t="str">
        <f>IF(OR(EstimateType="STS Only",RiderC&lt;&gt;"Yes"),"NA ",F51*H51)</f>
        <v>NA </v>
      </c>
    </row>
    <row r="52" spans="1:10" x14ac:dyDescent="0.25">
      <c r="A52" s="20" t="s">
        <v>222</v>
      </c>
      <c r="B52" s="109" t="s">
        <v>149</v>
      </c>
      <c r="C52" s="21"/>
      <c r="D52" s="21"/>
      <c r="E52" s="21"/>
      <c r="F52" s="114">
        <v>0</v>
      </c>
      <c r="G52" s="22"/>
      <c r="H52" s="112" t="str">
        <f>IF(OR(EstimateType="STS Only",RiderC&lt;&gt;"Yes"),"NA",J40)</f>
        <v>NA</v>
      </c>
      <c r="I52" s="22"/>
      <c r="J52" s="80" t="str">
        <f>IF(OR(EstimateType="STS Only",RiderC&lt;&gt;"Yes"),"NA ",F52*H52)</f>
        <v>NA </v>
      </c>
    </row>
    <row r="53" spans="1:10" x14ac:dyDescent="0.25">
      <c r="A53" s="20" t="s">
        <v>223</v>
      </c>
      <c r="B53" s="109" t="s">
        <v>152</v>
      </c>
      <c r="C53" s="21"/>
      <c r="D53" s="21"/>
      <c r="E53" s="21"/>
      <c r="F53" s="114">
        <v>0</v>
      </c>
      <c r="G53" s="22"/>
      <c r="H53" s="112" t="str">
        <f>IF(OR(EstimateType="STS Only",RiderC&lt;&gt;"Yes"),"NA",J42)</f>
        <v>NA</v>
      </c>
      <c r="I53" s="22"/>
      <c r="J53" s="80" t="str">
        <f>IF(OR(EstimateType="STS Only",RiderC&lt;&gt;"Yes"),"NA ",F53*H53)</f>
        <v>NA </v>
      </c>
    </row>
    <row r="54" spans="1:10" x14ac:dyDescent="0.25">
      <c r="A54" s="20" t="s">
        <v>224</v>
      </c>
      <c r="B54" s="109" t="s">
        <v>150</v>
      </c>
      <c r="C54" s="21"/>
      <c r="D54" s="21"/>
      <c r="E54" s="21"/>
      <c r="F54" s="114">
        <v>0</v>
      </c>
      <c r="G54" s="22"/>
      <c r="H54" s="112" t="str">
        <f>IF(OR(EstimateType="STS Only",RiderC&lt;&gt;"Yes"),"NA",J44)</f>
        <v>NA</v>
      </c>
      <c r="I54" s="22"/>
      <c r="J54" s="80" t="str">
        <f>IF(OR(EstimateType="STS Only",RiderC&lt;&gt;"Yes"),"NA ",F54*H54)</f>
        <v>NA </v>
      </c>
    </row>
    <row r="55" spans="1:10" x14ac:dyDescent="0.25">
      <c r="A55" s="32" t="s">
        <v>225</v>
      </c>
      <c r="B55" s="110" t="s">
        <v>153</v>
      </c>
      <c r="C55" s="30"/>
      <c r="D55" s="30"/>
      <c r="E55" s="30"/>
      <c r="F55" s="114">
        <v>0</v>
      </c>
      <c r="G55" s="31"/>
      <c r="H55" s="113" t="str">
        <f>IF(OR(EstimateType="STS Only",RiderC&lt;&gt;"Yes"),"NA",SUM(J46:J47))</f>
        <v>NA</v>
      </c>
      <c r="I55" s="31"/>
      <c r="J55" s="83" t="str">
        <f>IF(OR(EstimateType="STS Only",RiderC&lt;&gt;"Yes"),"NA ",F55*H55)</f>
        <v>NA </v>
      </c>
    </row>
    <row r="56" spans="1:10" ht="13" x14ac:dyDescent="0.3">
      <c r="A56" s="33" t="s">
        <v>154</v>
      </c>
      <c r="B56" s="34"/>
      <c r="C56" s="34"/>
      <c r="D56" s="34"/>
      <c r="E56" s="34"/>
      <c r="F56" s="38"/>
      <c r="G56" s="36"/>
      <c r="H56" s="37"/>
      <c r="I56" s="36"/>
      <c r="J56" s="86" t="str">
        <f>IF(OR(EstimateType="STS Only",RiderC&lt;&gt;"Yes"),"NA ",SUM(J51:J55))</f>
        <v>NA </v>
      </c>
    </row>
    <row r="57" spans="1:10" ht="9" customHeight="1" x14ac:dyDescent="0.25">
      <c r="J57" s="8"/>
    </row>
    <row r="58" spans="1:10" s="93" customFormat="1" ht="13" x14ac:dyDescent="0.3">
      <c r="A58" s="176" t="s">
        <v>60</v>
      </c>
      <c r="B58" s="177"/>
      <c r="C58" s="177"/>
      <c r="D58" s="177"/>
      <c r="E58" s="177"/>
      <c r="F58" s="177"/>
      <c r="G58" s="177"/>
      <c r="H58" s="177"/>
      <c r="I58" s="177"/>
      <c r="J58" s="178"/>
    </row>
    <row r="59" spans="1:10" x14ac:dyDescent="0.25">
      <c r="A59" s="14" t="s">
        <v>55</v>
      </c>
      <c r="B59" s="15" t="s">
        <v>56</v>
      </c>
      <c r="C59" s="15"/>
      <c r="D59" s="15"/>
      <c r="E59" s="15"/>
      <c r="F59" s="87" t="str">
        <f>IF(RiderF&lt;&gt;"Yes","NA",'A - Inputs and Summary'!I43)</f>
        <v>NA</v>
      </c>
      <c r="G59" s="16" t="s">
        <v>47</v>
      </c>
      <c r="H59" s="73" t="str">
        <f>IF(OR(EstimateType="STS Only",RiderF&lt;&gt;"Yes"),"NA",H19)</f>
        <v>NA</v>
      </c>
      <c r="I59" s="16" t="str">
        <f>IF(OR(EstimateType="STS Only",RiderF&lt;&gt;"Yes"),"","MWh")</f>
        <v/>
      </c>
      <c r="J59" s="84" t="str">
        <f>IF(OR(EstimateType="STS Only",RiderF&lt;&gt;"Yes"),"NA ",F59*H59)</f>
        <v>NA </v>
      </c>
    </row>
    <row r="61" spans="1:10" ht="13" x14ac:dyDescent="0.3">
      <c r="A61" s="6" t="s">
        <v>162</v>
      </c>
      <c r="B61" s="6"/>
      <c r="C61" s="6"/>
      <c r="D61" s="6"/>
      <c r="E61" s="6"/>
      <c r="F61" s="6"/>
      <c r="G61" s="6"/>
      <c r="H61" s="6"/>
      <c r="I61" s="6"/>
      <c r="J61" s="92">
        <f>IF(EstimateType="STS Only","NA ",SUM(J48,J56,J59))</f>
        <v>371255.47587999998</v>
      </c>
    </row>
  </sheetData>
  <mergeCells count="12">
    <mergeCell ref="C12:E12"/>
    <mergeCell ref="A8:J8"/>
    <mergeCell ref="C10:H10"/>
    <mergeCell ref="C11:H11"/>
    <mergeCell ref="H14:I14"/>
    <mergeCell ref="B14:F14"/>
    <mergeCell ref="A58:J58"/>
    <mergeCell ref="H24:I24"/>
    <mergeCell ref="F24:G24"/>
    <mergeCell ref="A24:E24"/>
    <mergeCell ref="A25:J25"/>
    <mergeCell ref="A50:J50"/>
  </mergeCells>
  <phoneticPr fontId="3" type="noConversion"/>
  <conditionalFormatting sqref="F51:F55">
    <cfRule type="expression" dxfId="1" priority="1" stopIfTrue="1">
      <formula>OR(AND(EstimateType&lt;&gt;"DTS Only",EstimateType&lt;&gt;"DTS and STS"),RiderC="No")</formula>
    </cfRule>
  </conditionalFormatting>
  <dataValidations count="14">
    <dataValidation allowBlank="1" showInputMessage="1" sqref="C12:F12 C10:H11" xr:uid="{00000000-0002-0000-0400-000000000000}"/>
    <dataValidation allowBlank="1" showInputMessage="1" showErrorMessage="1" promptTitle="Reference" prompt="For more information, see the definition of metered energy in the Consolidated Authoritative Documents Glossary." sqref="G19" xr:uid="{00000000-0002-0000-0400-000001000000}"/>
    <dataValidation allowBlank="1" showInputMessage="1" showErrorMessage="1" promptTitle="Reference" prompt="For more information, see the definition of substation fraction in the Consolidated Authoritative Documents Glossary." sqref="G15" xr:uid="{00000000-0002-0000-0400-000002000000}"/>
    <dataValidation allowBlank="1" showInputMessage="1" showErrorMessage="1" promptTitle="Reference" prompt="For more information, see the definition of metered demand in the Consolidated Authoritative Documents Glossary." sqref="G16" xr:uid="{00000000-0002-0000-0400-000003000000}"/>
    <dataValidation allowBlank="1" showInputMessage="1" showErrorMessage="1" promptTitle="Reference" prompt="For more information, see subsection 3(2) of Rate DTS: Demand Transmission Service in the ISO tariff." sqref="G17" xr:uid="{00000000-0002-0000-0400-000004000000}"/>
    <dataValidation allowBlank="1" showInputMessage="1" showErrorMessage="1" promptTitle="Reference" prompt="For more information, see the definition of billing capacity in the Consolidated Authoritative Documents Glossary." sqref="G18" xr:uid="{00000000-0002-0000-0400-000005000000}"/>
    <dataValidation allowBlank="1" showInputMessage="1" showErrorMessage="1" promptTitle="Reference" prompt="For more information, see the definition of pool price in the Consolidated Authoritative Documents Glossary." sqref="G20" xr:uid="{00000000-0002-0000-0400-000006000000}"/>
    <dataValidation allowBlank="1" showInputMessage="1" showErrorMessage="1" promptTitle="Reference" prompt="For more information, see subsection 4(2) of Rate DTS: Demand Transmission Service in the ISO tariff." sqref="G21" xr:uid="{00000000-0002-0000-0400-000007000000}"/>
    <dataValidation allowBlank="1" showInputMessage="1" showErrorMessage="1" promptTitle="Reference" prompt="For more information, see subsection 7(b) of Rate DTS: Demand Transmission Service in the ISO tariff." sqref="G22" xr:uid="{00000000-0002-0000-0400-000008000000}"/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connection charge and primary service credit rate component in the applicable Rider C quarterly deferral estimate on the AESO website." sqref="F51" xr:uid="{00000000-0002-0000-0400-000009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ther system support services charge rate component in the applicable Rider C quarterly deferral estimate on the AESO website." sqref="F55" xr:uid="{00000000-0002-0000-0400-00000A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perating reserve charge rate component in the applicable Rider C quarterly deferral estimate on the AESO website." sqref="F52" xr:uid="{00000000-0002-0000-0400-00000B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transmission constraint rebalancing charge rate component in the applicable Rider C quarterly deferral estimate on the AESO website." sqref="F53" xr:uid="{00000000-0002-0000-0400-00000C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voltage control charge rate component in the applicable Rider C quarterly deferral estimate on the AESO website." sqref="F54" xr:uid="{00000000-0002-0000-0400-00000D000000}">
      <formula1>-1</formula1>
      <formula2>1</formula2>
    </dataValidation>
  </dataValidations>
  <printOptions horizontalCentered="1"/>
  <pageMargins left="0.25" right="0.25" top="0.5" bottom="0.25" header="0.3" footer="0.3"/>
  <pageSetup scale="96" orientation="portrait" r:id="rId1"/>
  <headerFooter alignWithMargins="0">
    <oddFooter>&amp;L&amp;8Attachment to ISO Tariff - Bill Estimator (AESO ID #2023-015T)
Filename: &amp;F — Page&amp;P of &amp;N&amp;R&amp;8Confidentiality: Proprietary When Completed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8:K33"/>
  <sheetViews>
    <sheetView showGridLines="0" tabSelected="1" topLeftCell="A7" workbookViewId="0">
      <selection activeCell="Q41" sqref="Q41"/>
    </sheetView>
  </sheetViews>
  <sheetFormatPr defaultColWidth="9.54296875" defaultRowHeight="12.5" x14ac:dyDescent="0.25"/>
  <cols>
    <col min="1" max="1" width="2.54296875" style="4" customWidth="1"/>
    <col min="2" max="2" width="6.6328125" style="4" customWidth="1"/>
    <col min="3" max="4" width="9.54296875" style="4" customWidth="1"/>
    <col min="5" max="5" width="8.54296875" style="4" customWidth="1"/>
    <col min="6" max="6" width="7.54296875" style="4" customWidth="1"/>
    <col min="7" max="7" width="10.54296875" style="4" customWidth="1"/>
    <col min="8" max="8" width="11.453125" style="4" customWidth="1"/>
    <col min="9" max="9" width="10.453125" style="4" customWidth="1"/>
    <col min="10" max="10" width="9.6328125" style="4" customWidth="1"/>
    <col min="11" max="11" width="12.453125" style="4" customWidth="1"/>
    <col min="12" max="16384" width="9.54296875" style="4"/>
  </cols>
  <sheetData>
    <row r="8" spans="2:11" s="2" customFormat="1" ht="17" x14ac:dyDescent="0.5">
      <c r="B8" s="168" t="str">
        <f>"Attachment C: Rate PSC Bill Estimate Under "&amp;RIGHT('A - Inputs and Summary'!K10,4)&amp;" ISO Tariff"</f>
        <v>Attachment C: Rate PSC Bill Estimate Under 2023 ISO Tariff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2:11" s="3" customFormat="1" ht="8" x14ac:dyDescent="0.2"/>
    <row r="10" spans="2:11" ht="13" x14ac:dyDescent="0.3">
      <c r="B10" s="93" t="s">
        <v>202</v>
      </c>
      <c r="D10" s="181" t="str">
        <f>ParticipantName</f>
        <v>Name of Market Participant</v>
      </c>
      <c r="E10" s="181"/>
      <c r="F10" s="181"/>
      <c r="G10" s="181"/>
      <c r="H10" s="181"/>
      <c r="I10" s="181"/>
      <c r="J10" s="48" t="s">
        <v>0</v>
      </c>
      <c r="K10" s="157" t="str">
        <f>'A - Inputs and Summary'!K10</f>
        <v>AESO 2023</v>
      </c>
    </row>
    <row r="11" spans="2:11" ht="13" x14ac:dyDescent="0.3">
      <c r="B11" s="4" t="s">
        <v>21</v>
      </c>
      <c r="D11" s="182" t="str">
        <f>AccountID</f>
        <v>Account ID</v>
      </c>
      <c r="E11" s="182"/>
      <c r="F11" s="182"/>
      <c r="G11" s="182"/>
      <c r="H11" s="182"/>
      <c r="I11" s="182"/>
      <c r="J11" s="48" t="s">
        <v>1</v>
      </c>
      <c r="K11" s="156">
        <f>'A - Inputs and Summary'!K11</f>
        <v>44927</v>
      </c>
    </row>
    <row r="12" spans="2:11" x14ac:dyDescent="0.25">
      <c r="B12" s="4" t="s">
        <v>5</v>
      </c>
      <c r="D12" s="180" t="str">
        <f>PreparationDate</f>
        <v>Date Prepared</v>
      </c>
      <c r="E12" s="180"/>
      <c r="F12" s="180"/>
      <c r="G12" s="57"/>
      <c r="H12" s="46"/>
      <c r="I12" s="47"/>
      <c r="J12" s="48" t="s">
        <v>2</v>
      </c>
      <c r="K12" s="156" t="str">
        <f>'A - Inputs and Summary'!K12</f>
        <v>current</v>
      </c>
    </row>
    <row r="13" spans="2:11" x14ac:dyDescent="0.25">
      <c r="K13" s="10"/>
    </row>
    <row r="14" spans="2:11" ht="13" x14ac:dyDescent="0.3">
      <c r="C14" s="173" t="s">
        <v>63</v>
      </c>
      <c r="D14" s="173"/>
      <c r="E14" s="173"/>
      <c r="F14" s="173"/>
      <c r="G14" s="173"/>
      <c r="H14" s="7" t="s">
        <v>6</v>
      </c>
      <c r="I14" s="173" t="s">
        <v>46</v>
      </c>
      <c r="J14" s="173"/>
    </row>
    <row r="15" spans="2:11" x14ac:dyDescent="0.25">
      <c r="C15" s="48" t="str">
        <f>'A - Inputs and Summary'!B27</f>
        <v>(j)</v>
      </c>
      <c r="D15" s="4" t="s">
        <v>43</v>
      </c>
      <c r="H15" s="10" t="s">
        <v>123</v>
      </c>
      <c r="I15" s="51">
        <f>IF(EstimateType="STS Only","NA",'A - Inputs and Summary'!I27)</f>
        <v>1</v>
      </c>
      <c r="J15" s="12"/>
    </row>
    <row r="16" spans="2:11" x14ac:dyDescent="0.25">
      <c r="C16" s="48" t="str">
        <f>'A - Inputs and Summary'!B32</f>
        <v>(o)</v>
      </c>
      <c r="D16" s="4" t="s">
        <v>31</v>
      </c>
      <c r="H16" s="10" t="s">
        <v>123</v>
      </c>
      <c r="I16" s="49">
        <f>IF(EstimateType="STS Only","NA",'A - Inputs and Summary'!I32)</f>
        <v>20</v>
      </c>
      <c r="J16" s="12" t="str">
        <f>IF(EstimateType="STS Only","","MW")</f>
        <v>MW</v>
      </c>
    </row>
    <row r="18" spans="2:11" ht="13" x14ac:dyDescent="0.3">
      <c r="B18" s="179" t="s">
        <v>64</v>
      </c>
      <c r="C18" s="179"/>
      <c r="D18" s="179"/>
      <c r="E18" s="179"/>
      <c r="F18" s="179"/>
      <c r="G18" s="179" t="s">
        <v>174</v>
      </c>
      <c r="H18" s="179"/>
      <c r="I18" s="179" t="s">
        <v>46</v>
      </c>
      <c r="J18" s="179"/>
      <c r="K18" s="54" t="s">
        <v>7</v>
      </c>
    </row>
    <row r="19" spans="2:11" s="93" customFormat="1" ht="13" x14ac:dyDescent="0.3">
      <c r="B19" s="176" t="s">
        <v>58</v>
      </c>
      <c r="C19" s="177"/>
      <c r="D19" s="177"/>
      <c r="E19" s="177"/>
      <c r="F19" s="177"/>
      <c r="G19" s="177"/>
      <c r="H19" s="177"/>
      <c r="I19" s="177"/>
      <c r="J19" s="177"/>
      <c r="K19" s="178"/>
    </row>
    <row r="20" spans="2:11" x14ac:dyDescent="0.25">
      <c r="B20" s="121" t="s">
        <v>216</v>
      </c>
      <c r="C20" s="21" t="s">
        <v>33</v>
      </c>
      <c r="D20" s="21"/>
      <c r="E20" s="21"/>
      <c r="F20" s="21"/>
      <c r="G20" s="137">
        <f>ABS(INDEX(Lookup!$C$13:$Z$13,1,MATCH($K$10,Lookup!$C$1:$Z$1,0)))</f>
        <v>11635</v>
      </c>
      <c r="H20" s="22" t="s">
        <v>48</v>
      </c>
      <c r="I20" s="70" t="str">
        <f>IF(OR(OR(EstimateType="STS Only",PrimaryServiceCredit&lt;&gt;"Yes"),PrimaryServiceCredit&lt;&gt;"Yes"),"NA",I15)</f>
        <v>NA</v>
      </c>
      <c r="J20" s="21"/>
      <c r="K20" s="80" t="str">
        <f>IF(OR(EstimateType="STS Only",PrimaryServiceCredit&lt;&gt;"Yes"),"NA ",-G20*I20)</f>
        <v>NA </v>
      </c>
    </row>
    <row r="21" spans="2:11" x14ac:dyDescent="0.25">
      <c r="B21" s="121" t="s">
        <v>217</v>
      </c>
      <c r="C21" s="21" t="s">
        <v>40</v>
      </c>
      <c r="D21" s="21"/>
      <c r="E21" s="21"/>
      <c r="F21" s="21"/>
      <c r="G21" s="137">
        <f>ABS(INDEX(Lookup!$C$14:$Z$14,1,MATCH($K$10,Lookup!$C$1:$Z$1,0)))</f>
        <v>3829</v>
      </c>
      <c r="H21" s="22" t="s">
        <v>49</v>
      </c>
      <c r="I21" s="67" t="str">
        <f>IF(OR(OR(EstimateType="STS Only",PrimaryServiceCredit&lt;&gt;"Yes"),PrimaryServiceCredit&lt;&gt;"Yes"),"NA",MIN(I16,7.5*I15))</f>
        <v>NA</v>
      </c>
      <c r="J21" s="22" t="str">
        <f>J16</f>
        <v>MW</v>
      </c>
      <c r="K21" s="80" t="str">
        <f>IF(OR(EstimateType="STS Only",PrimaryServiceCredit&lt;&gt;"Yes"),"NA ",-G21*I21)</f>
        <v>NA </v>
      </c>
    </row>
    <row r="22" spans="2:11" x14ac:dyDescent="0.25">
      <c r="B22" s="121" t="s">
        <v>218</v>
      </c>
      <c r="C22" s="21" t="s">
        <v>41</v>
      </c>
      <c r="D22" s="21"/>
      <c r="E22" s="21"/>
      <c r="F22" s="21"/>
      <c r="G22" s="137">
        <f>ABS(INDEX(Lookup!$C$15:$Z$15,1,MATCH($K$10,Lookup!$C$1:$Z$1,0)))</f>
        <v>2271</v>
      </c>
      <c r="H22" s="22" t="s">
        <v>49</v>
      </c>
      <c r="I22" s="67" t="str">
        <f>IF(OR(EstimateType="STS Only",PrimaryServiceCredit&lt;&gt;"Yes"),"NA",MAX(MIN(I16,17*I15)-(7.5*I15),0))</f>
        <v>NA</v>
      </c>
      <c r="J22" s="22" t="str">
        <f>J16</f>
        <v>MW</v>
      </c>
      <c r="K22" s="80" t="str">
        <f>IF(OR(EstimateType="STS Only",PrimaryServiceCredit&lt;&gt;"Yes"),"NA ",-G22*I22)</f>
        <v>NA </v>
      </c>
    </row>
    <row r="23" spans="2:11" x14ac:dyDescent="0.25">
      <c r="B23" s="121" t="s">
        <v>219</v>
      </c>
      <c r="C23" s="21" t="s">
        <v>42</v>
      </c>
      <c r="D23" s="21"/>
      <c r="E23" s="21"/>
      <c r="F23" s="21"/>
      <c r="G23" s="137">
        <f>ABS(INDEX(Lookup!$C$16:$Z$16,1,MATCH($K$10,Lookup!$C$1:$Z$1,0)))</f>
        <v>1520</v>
      </c>
      <c r="H23" s="22" t="s">
        <v>49</v>
      </c>
      <c r="I23" s="67" t="str">
        <f>IF(OR(EstimateType="STS Only",PrimaryServiceCredit&lt;&gt;"Yes"),"NA",MAX(MIN(I16,40*I15)-(17*I15),0))</f>
        <v>NA</v>
      </c>
      <c r="J23" s="22" t="str">
        <f>J16</f>
        <v>MW</v>
      </c>
      <c r="K23" s="80" t="str">
        <f>IF(OR(EstimateType="STS Only",PrimaryServiceCredit&lt;&gt;"Yes"),"NA ",-G23*I23)</f>
        <v>NA </v>
      </c>
    </row>
    <row r="24" spans="2:11" x14ac:dyDescent="0.25">
      <c r="B24" s="122" t="s">
        <v>220</v>
      </c>
      <c r="C24" s="30" t="s">
        <v>34</v>
      </c>
      <c r="D24" s="30"/>
      <c r="E24" s="30"/>
      <c r="F24" s="30"/>
      <c r="G24" s="138">
        <f>ABS(INDEX(Lookup!$C$17:$Z$17,1,MATCH($K$10,Lookup!$C$1:$Z$1,0)))</f>
        <v>1185</v>
      </c>
      <c r="H24" s="31" t="s">
        <v>49</v>
      </c>
      <c r="I24" s="71" t="str">
        <f>IF(OR(EstimateType="STS Only",PrimaryServiceCredit&lt;&gt;"Yes"),"NA",MAX(I16-(40*I15),0))</f>
        <v>NA</v>
      </c>
      <c r="J24" s="31" t="str">
        <f>J16</f>
        <v>MW</v>
      </c>
      <c r="K24" s="83" t="str">
        <f>IF(OR(EstimateType="STS Only",PrimaryServiceCredit&lt;&gt;"Yes"),"NA ",-G24*I24)</f>
        <v>NA </v>
      </c>
    </row>
    <row r="25" spans="2:11" s="21" customFormat="1" ht="13" x14ac:dyDescent="0.3">
      <c r="B25" s="33" t="s">
        <v>62</v>
      </c>
      <c r="C25" s="34"/>
      <c r="D25" s="34"/>
      <c r="E25" s="34"/>
      <c r="F25" s="34"/>
      <c r="G25" s="35"/>
      <c r="H25" s="36"/>
      <c r="I25" s="75"/>
      <c r="J25" s="36"/>
      <c r="K25" s="86" t="str">
        <f>IF(OR(EstimateType="STS Only",PrimaryServiceCredit&lt;&gt;"Yes"),"NA ",SUM(K20:K24))</f>
        <v>NA </v>
      </c>
    </row>
    <row r="26" spans="2:11" s="21" customFormat="1" ht="9" customHeight="1" x14ac:dyDescent="0.25">
      <c r="K26" s="26"/>
    </row>
    <row r="27" spans="2:11" s="93" customFormat="1" ht="13" x14ac:dyDescent="0.3">
      <c r="B27" s="176" t="s">
        <v>59</v>
      </c>
      <c r="C27" s="177"/>
      <c r="D27" s="177"/>
      <c r="E27" s="177"/>
      <c r="F27" s="177"/>
      <c r="G27" s="177"/>
      <c r="H27" s="177"/>
      <c r="I27" s="177"/>
      <c r="J27" s="177"/>
      <c r="K27" s="178"/>
    </row>
    <row r="28" spans="2:11" x14ac:dyDescent="0.25">
      <c r="B28" s="17" t="s">
        <v>221</v>
      </c>
      <c r="C28" s="108" t="s">
        <v>161</v>
      </c>
      <c r="D28" s="18"/>
      <c r="E28" s="18"/>
      <c r="F28" s="18"/>
      <c r="G28" s="123">
        <f>'B - Rate DTS and Riders'!F51</f>
        <v>0</v>
      </c>
      <c r="H28" s="19"/>
      <c r="I28" s="111" t="str">
        <f>IF(OR(EstimateType="STS Only",PrimaryServiceCredit&lt;&gt;"Yes",RiderC&lt;&gt;"Yes"),"NA",SUM(K20:K24))</f>
        <v>NA</v>
      </c>
      <c r="J28" s="18"/>
      <c r="K28" s="85" t="str">
        <f>IF(OR(EstimateType="STS Only",PrimaryServiceCredit&lt;&gt;"Yes",RiderC&lt;&gt;"Yes"),"NA ",G28*I28)</f>
        <v>NA </v>
      </c>
    </row>
    <row r="29" spans="2:11" ht="13" x14ac:dyDescent="0.3">
      <c r="B29" s="33" t="s">
        <v>175</v>
      </c>
      <c r="C29" s="34"/>
      <c r="D29" s="34"/>
      <c r="E29" s="34"/>
      <c r="F29" s="34"/>
      <c r="G29" s="38"/>
      <c r="H29" s="36"/>
      <c r="I29" s="37"/>
      <c r="J29" s="36"/>
      <c r="K29" s="86" t="str">
        <f>IF(OR(EstimateType="STS Only",PrimaryServiceCredit&lt;&gt;"Yes",RiderC&lt;&gt;"Yes"),"NA ",SUM(K28:K28))</f>
        <v>NA </v>
      </c>
    </row>
    <row r="30" spans="2:11" ht="9" customHeight="1" x14ac:dyDescent="0.25">
      <c r="K30" s="8"/>
    </row>
    <row r="31" spans="2:11" ht="13" x14ac:dyDescent="0.3">
      <c r="B31" s="6" t="s">
        <v>173</v>
      </c>
      <c r="C31" s="6"/>
      <c r="D31" s="6"/>
      <c r="E31" s="6"/>
      <c r="F31" s="6"/>
      <c r="G31" s="6"/>
      <c r="H31" s="6"/>
      <c r="I31" s="6"/>
      <c r="J31" s="6"/>
      <c r="K31" s="92" t="str">
        <f>IF(OR(EstimateType="STS Only",PrimaryServiceCredit&lt;&gt;"Yes"),"NA ",SUM(K25,K29))</f>
        <v>NA </v>
      </c>
    </row>
    <row r="33" spans="2:11" s="151" customFormat="1" ht="14.15" customHeight="1" x14ac:dyDescent="0.2">
      <c r="B33" s="150"/>
      <c r="G33" s="152"/>
      <c r="K33" s="153"/>
    </row>
  </sheetData>
  <mergeCells count="11">
    <mergeCell ref="B18:F18"/>
    <mergeCell ref="G18:H18"/>
    <mergeCell ref="I18:J18"/>
    <mergeCell ref="B19:K19"/>
    <mergeCell ref="B27:K27"/>
    <mergeCell ref="B8:K8"/>
    <mergeCell ref="D10:I10"/>
    <mergeCell ref="D11:I11"/>
    <mergeCell ref="D12:F12"/>
    <mergeCell ref="C14:G14"/>
    <mergeCell ref="I14:J14"/>
  </mergeCells>
  <conditionalFormatting sqref="G28">
    <cfRule type="expression" dxfId="0" priority="1" stopIfTrue="1">
      <formula>OR(AND(EstimateType&lt;&gt;"DTS Only",EstimateType&lt;&gt;"DTS and STS"),PrimaryServiceCredit="No",RiderC="No")</formula>
    </cfRule>
  </conditionalFormatting>
  <dataValidations disablePrompts="1" count="3">
    <dataValidation allowBlank="1" showInputMessage="1" showErrorMessage="1" promptTitle="Reference" prompt="For more information, see the definition of billing capacity in the Consolidated Authoritative Documents Glossary." sqref="H16" xr:uid="{00000000-0002-0000-0500-000000000000}"/>
    <dataValidation allowBlank="1" showInputMessage="1" showErrorMessage="1" promptTitle="Reference" prompt="For more information, see the definition of substation fraction in the Consolidated Authoritative Documents Glossary." sqref="H15" xr:uid="{00000000-0002-0000-0500-000001000000}"/>
    <dataValidation allowBlank="1" showInputMessage="1" sqref="D12:G12 D10:I11" xr:uid="{00000000-0002-0000-0500-000002000000}"/>
  </dataValidations>
  <printOptions horizontalCentered="1"/>
  <pageMargins left="0.25" right="0.25" top="0.5" bottom="0.25" header="0.3" footer="0.3"/>
  <pageSetup orientation="portrait" r:id="rId1"/>
  <headerFooter alignWithMargins="0">
    <oddFooter>&amp;L&amp;8Attachment to ISO Tariff - Bill Estimator (AESO ID #2023-015T)
Filename: &amp;F — Page&amp;P of &amp;N&amp;R&amp;8Confidentiality: Proprietary When Completed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8:N36"/>
  <sheetViews>
    <sheetView showGridLines="0" topLeftCell="A13" workbookViewId="0">
      <selection activeCell="Q41" sqref="Q41"/>
    </sheetView>
  </sheetViews>
  <sheetFormatPr defaultColWidth="9.54296875" defaultRowHeight="12.5" x14ac:dyDescent="0.25"/>
  <cols>
    <col min="1" max="1" width="2.08984375" style="4" customWidth="1"/>
    <col min="2" max="2" width="4.453125" style="4" customWidth="1"/>
    <col min="3" max="3" width="11.36328125" style="4" customWidth="1"/>
    <col min="4" max="4" width="7.54296875" style="4" customWidth="1"/>
    <col min="5" max="5" width="9.54296875" style="4" customWidth="1"/>
    <col min="6" max="6" width="10.54296875" style="4" customWidth="1"/>
    <col min="7" max="7" width="9.54296875" style="4" customWidth="1"/>
    <col min="8" max="8" width="11.453125" style="4" customWidth="1"/>
    <col min="9" max="9" width="10.453125" style="4" customWidth="1"/>
    <col min="10" max="10" width="9.453125" style="4" customWidth="1"/>
    <col min="11" max="11" width="12.6328125" style="4" customWidth="1"/>
    <col min="12" max="16384" width="9.54296875" style="4"/>
  </cols>
  <sheetData>
    <row r="8" spans="2:11" s="2" customFormat="1" ht="17" x14ac:dyDescent="0.5">
      <c r="B8" s="183" t="str">
        <f>"Attachment D: Rate STS Bill Estimate Under "&amp;RIGHT('A - Inputs and Summary'!K10,4)&amp;" ISO Tariff"</f>
        <v>Attachment D: Rate STS Bill Estimate Under 2023 ISO Tariff</v>
      </c>
      <c r="C8" s="183"/>
      <c r="D8" s="183"/>
      <c r="E8" s="183"/>
      <c r="F8" s="183"/>
      <c r="G8" s="183"/>
      <c r="H8" s="183"/>
      <c r="I8" s="183"/>
      <c r="J8" s="183"/>
      <c r="K8" s="183"/>
    </row>
    <row r="9" spans="2:11" s="3" customFormat="1" ht="8" x14ac:dyDescent="0.2"/>
    <row r="10" spans="2:11" ht="13" x14ac:dyDescent="0.3">
      <c r="B10" s="93" t="s">
        <v>202</v>
      </c>
      <c r="D10" s="181" t="str">
        <f>ParticipantName</f>
        <v>Name of Market Participant</v>
      </c>
      <c r="E10" s="181"/>
      <c r="F10" s="181"/>
      <c r="G10" s="181"/>
      <c r="H10" s="181"/>
      <c r="I10" s="181"/>
      <c r="J10" s="48" t="s">
        <v>0</v>
      </c>
      <c r="K10" s="157" t="str">
        <f>'A - Inputs and Summary'!K10</f>
        <v>AESO 2023</v>
      </c>
    </row>
    <row r="11" spans="2:11" ht="13" x14ac:dyDescent="0.3">
      <c r="B11" s="4" t="s">
        <v>21</v>
      </c>
      <c r="D11" s="182" t="str">
        <f>AccountID</f>
        <v>Account ID</v>
      </c>
      <c r="E11" s="182"/>
      <c r="F11" s="182"/>
      <c r="G11" s="182"/>
      <c r="H11" s="182"/>
      <c r="I11" s="182"/>
      <c r="J11" s="48" t="s">
        <v>1</v>
      </c>
      <c r="K11" s="156">
        <f>'A - Inputs and Summary'!K11</f>
        <v>44927</v>
      </c>
    </row>
    <row r="12" spans="2:11" x14ac:dyDescent="0.25">
      <c r="B12" s="4" t="s">
        <v>5</v>
      </c>
      <c r="D12" s="180" t="str">
        <f>PreparationDate</f>
        <v>Date Prepared</v>
      </c>
      <c r="E12" s="180"/>
      <c r="F12" s="180"/>
      <c r="G12" s="57"/>
      <c r="H12" s="46"/>
      <c r="I12" s="47"/>
      <c r="J12" s="48" t="s">
        <v>2</v>
      </c>
      <c r="K12" s="156" t="str">
        <f>'A - Inputs and Summary'!K12</f>
        <v>current</v>
      </c>
    </row>
    <row r="13" spans="2:11" x14ac:dyDescent="0.25">
      <c r="K13" s="134"/>
    </row>
    <row r="14" spans="2:11" ht="13" x14ac:dyDescent="0.3">
      <c r="C14" s="173" t="s">
        <v>63</v>
      </c>
      <c r="D14" s="173"/>
      <c r="E14" s="173"/>
      <c r="F14" s="173"/>
      <c r="G14" s="173"/>
      <c r="H14" s="7" t="s">
        <v>6</v>
      </c>
      <c r="I14" s="173" t="s">
        <v>46</v>
      </c>
      <c r="J14" s="173"/>
    </row>
    <row r="15" spans="2:11" x14ac:dyDescent="0.25">
      <c r="C15" s="48" t="str">
        <f>'A - Inputs and Summary'!B35</f>
        <v>(r)</v>
      </c>
      <c r="D15" s="4" t="s">
        <v>30</v>
      </c>
      <c r="H15" s="10" t="s">
        <v>123</v>
      </c>
      <c r="I15" s="50" t="str">
        <f>IF(EstimateType="DTS Only","NA",'A - Inputs and Summary'!J35)</f>
        <v>NA</v>
      </c>
      <c r="J15" s="12" t="str">
        <f>IF(EstimateType="DTS Only","","MWh")</f>
        <v/>
      </c>
    </row>
    <row r="16" spans="2:11" x14ac:dyDescent="0.25">
      <c r="C16" s="48" t="str">
        <f>'A - Inputs and Summary'!B36</f>
        <v>(s)</v>
      </c>
      <c r="D16" s="4" t="s">
        <v>65</v>
      </c>
      <c r="H16" s="10" t="s">
        <v>123</v>
      </c>
      <c r="I16" s="52" t="str">
        <f>IF(EstimateType="DTS Only","NA",'A - Inputs and Summary'!J36)</f>
        <v>NA</v>
      </c>
      <c r="J16" s="53" t="str">
        <f>IF(EstimateType="DTS Only","","/MWh")</f>
        <v/>
      </c>
    </row>
    <row r="17" spans="2:14" x14ac:dyDescent="0.25">
      <c r="C17" s="48" t="str">
        <f>'A - Inputs and Summary'!B39</f>
        <v>(v)</v>
      </c>
      <c r="D17" s="4" t="s">
        <v>44</v>
      </c>
      <c r="H17" s="10" t="s">
        <v>123</v>
      </c>
      <c r="I17" s="126" t="str">
        <f>IF(EstimateType="DTS Only","NA",'A - Inputs and Summary'!J39)</f>
        <v>NA</v>
      </c>
      <c r="J17" s="53"/>
    </row>
    <row r="18" spans="2:14" x14ac:dyDescent="0.25">
      <c r="C18" s="48" t="str">
        <f>'A - Inputs and Summary'!B40</f>
        <v>(w)</v>
      </c>
      <c r="D18" s="4" t="s">
        <v>77</v>
      </c>
      <c r="H18" s="10" t="s">
        <v>116</v>
      </c>
      <c r="I18" s="49" t="str">
        <f>IF(OR(EstimateType="DTS Only",RegulatedGeneratingUnit&lt;&gt;"Yes"),"NA",'A - Inputs and Summary'!J40)</f>
        <v>NA</v>
      </c>
      <c r="J18" s="12" t="str">
        <f>IF(OR(EstimateType="DTS Only",RegulatedGeneratingUnit&lt;&gt;"Yes"),"","MW")</f>
        <v/>
      </c>
    </row>
    <row r="20" spans="2:14" ht="13" x14ac:dyDescent="0.3">
      <c r="B20" s="179" t="s">
        <v>64</v>
      </c>
      <c r="C20" s="179"/>
      <c r="D20" s="179"/>
      <c r="E20" s="179"/>
      <c r="F20" s="179"/>
      <c r="G20" s="179" t="s">
        <v>45</v>
      </c>
      <c r="H20" s="179"/>
      <c r="I20" s="179" t="s">
        <v>46</v>
      </c>
      <c r="J20" s="179"/>
      <c r="K20" s="54" t="s">
        <v>7</v>
      </c>
    </row>
    <row r="21" spans="2:14" s="93" customFormat="1" ht="13" x14ac:dyDescent="0.3">
      <c r="B21" s="176" t="s">
        <v>113</v>
      </c>
      <c r="C21" s="177"/>
      <c r="D21" s="177"/>
      <c r="E21" s="177"/>
      <c r="F21" s="177"/>
      <c r="G21" s="177"/>
      <c r="H21" s="177"/>
      <c r="I21" s="177"/>
      <c r="J21" s="177"/>
      <c r="K21" s="178"/>
    </row>
    <row r="22" spans="2:14" s="21" customFormat="1" ht="13" x14ac:dyDescent="0.3">
      <c r="B22" s="27" t="s">
        <v>114</v>
      </c>
      <c r="D22" s="27"/>
      <c r="E22" s="27"/>
      <c r="F22" s="27"/>
      <c r="G22" s="27"/>
      <c r="H22" s="28"/>
      <c r="I22" s="72"/>
      <c r="J22" s="27"/>
      <c r="K22" s="29"/>
    </row>
    <row r="23" spans="2:14" s="21" customFormat="1" x14ac:dyDescent="0.25">
      <c r="B23" s="14" t="s">
        <v>214</v>
      </c>
      <c r="C23" s="15" t="s">
        <v>30</v>
      </c>
      <c r="D23" s="15"/>
      <c r="E23" s="77" t="s">
        <v>50</v>
      </c>
      <c r="F23" s="125" t="str">
        <f>IF(EstimateType="DTS Only","×  NA",I17)</f>
        <v>×  NA</v>
      </c>
      <c r="G23" s="124" t="str">
        <f>IF(EstimateType="DTS Only","=         NA",I16*F23)</f>
        <v>=         NA</v>
      </c>
      <c r="H23" s="76" t="s">
        <v>47</v>
      </c>
      <c r="I23" s="73" t="str">
        <f>I15</f>
        <v>NA</v>
      </c>
      <c r="J23" s="16" t="str">
        <f>J15</f>
        <v/>
      </c>
      <c r="K23" s="84" t="str">
        <f>IF(EstimateType="DTS Only","NA ",G23*I23)</f>
        <v>NA </v>
      </c>
    </row>
    <row r="24" spans="2:14" s="21" customFormat="1" ht="13" x14ac:dyDescent="0.3">
      <c r="B24" s="27" t="s">
        <v>115</v>
      </c>
      <c r="D24" s="27"/>
      <c r="E24" s="27"/>
      <c r="F24" s="27"/>
      <c r="G24" s="27"/>
      <c r="H24" s="27"/>
      <c r="I24" s="72"/>
      <c r="J24" s="27"/>
      <c r="K24" s="29"/>
    </row>
    <row r="25" spans="2:14" s="21" customFormat="1" x14ac:dyDescent="0.25">
      <c r="B25" s="14" t="s">
        <v>215</v>
      </c>
      <c r="C25" s="15" t="s">
        <v>77</v>
      </c>
      <c r="D25" s="15"/>
      <c r="E25" s="15"/>
      <c r="F25" s="15"/>
      <c r="G25" s="136">
        <f>INDEX(Lookup!$C$23:$Z$23,1,MATCH($K$10,Lookup!$C$1:$Z$1,0))</f>
        <v>0</v>
      </c>
      <c r="H25" s="16" t="s">
        <v>117</v>
      </c>
      <c r="I25" s="91" t="str">
        <f>IF(OR(EstimateType="DTS Only",RegulatedGeneratingUnit&lt;&gt;"Yes"),"NA",I18)</f>
        <v>NA</v>
      </c>
      <c r="J25" s="16" t="str">
        <f>J18</f>
        <v/>
      </c>
      <c r="K25" s="84" t="str">
        <f>IF(OR(EstimateType="DTS Only",RegulatedGeneratingUnit&lt;&gt;"Yes"),"NA ",G25*I25)</f>
        <v>NA </v>
      </c>
      <c r="N25" s="109"/>
    </row>
    <row r="26" spans="2:14" s="21" customFormat="1" ht="13" x14ac:dyDescent="0.3">
      <c r="B26" s="33" t="s">
        <v>121</v>
      </c>
      <c r="C26" s="34"/>
      <c r="D26" s="34"/>
      <c r="E26" s="34"/>
      <c r="F26" s="34"/>
      <c r="G26" s="35"/>
      <c r="H26" s="36"/>
      <c r="I26" s="75"/>
      <c r="J26" s="36"/>
      <c r="K26" s="86" t="str">
        <f>IF(EstimateType="DTS Only","NA ",SUM(K22:K25))</f>
        <v>NA </v>
      </c>
    </row>
    <row r="27" spans="2:14" ht="9" customHeight="1" x14ac:dyDescent="0.25">
      <c r="K27" s="8"/>
    </row>
    <row r="28" spans="2:14" s="93" customFormat="1" ht="13" x14ac:dyDescent="0.3">
      <c r="B28" s="176" t="s">
        <v>118</v>
      </c>
      <c r="C28" s="177"/>
      <c r="D28" s="177"/>
      <c r="E28" s="177"/>
      <c r="F28" s="177"/>
      <c r="G28" s="177"/>
      <c r="H28" s="177"/>
      <c r="I28" s="177"/>
      <c r="J28" s="177"/>
      <c r="K28" s="178"/>
    </row>
    <row r="29" spans="2:14" x14ac:dyDescent="0.25">
      <c r="B29" s="14" t="s">
        <v>213</v>
      </c>
      <c r="C29" s="15" t="s">
        <v>30</v>
      </c>
      <c r="D29" s="15"/>
      <c r="E29" s="77" t="s">
        <v>50</v>
      </c>
      <c r="F29" s="125" t="str">
        <f>IF(OR(EstimateType="DTS Only",RiderE&lt;&gt;"Yes"),"×  NA",'A - Inputs and Summary'!J42)</f>
        <v>×  NA</v>
      </c>
      <c r="G29" s="124" t="str">
        <f>IF(OR(EstimateType="DTS Only",RiderE&lt;&gt;"Yes"),"=         NA",I16*F29)</f>
        <v>=         NA</v>
      </c>
      <c r="H29" s="76" t="s">
        <v>47</v>
      </c>
      <c r="I29" s="73" t="str">
        <f>IF(OR(EstimateType="DTS Only",RiderE&lt;&gt;"Yes"),"NA",I15)</f>
        <v>NA</v>
      </c>
      <c r="J29" s="16" t="str">
        <f>IF(OR(EstimateType="DTS Only",RiderE&lt;&gt;"Yes"),"",J15)</f>
        <v/>
      </c>
      <c r="K29" s="84" t="str">
        <f>IF(OR(EstimateType="DTS Only",RiderE&lt;&gt;"Yes"),"NA ",G29*I29)</f>
        <v>NA </v>
      </c>
    </row>
    <row r="30" spans="2:14" ht="9" customHeight="1" x14ac:dyDescent="0.25">
      <c r="K30" s="8"/>
    </row>
    <row r="31" spans="2:14" s="93" customFormat="1" ht="13" x14ac:dyDescent="0.3">
      <c r="B31" s="176" t="s">
        <v>119</v>
      </c>
      <c r="C31" s="177"/>
      <c r="D31" s="177"/>
      <c r="E31" s="177"/>
      <c r="F31" s="177"/>
      <c r="G31" s="177"/>
      <c r="H31" s="177"/>
      <c r="I31" s="177"/>
      <c r="J31" s="177"/>
      <c r="K31" s="178"/>
    </row>
    <row r="32" spans="2:14" x14ac:dyDescent="0.25">
      <c r="B32" s="14" t="s">
        <v>213</v>
      </c>
      <c r="C32" s="15" t="s">
        <v>120</v>
      </c>
      <c r="D32" s="15"/>
      <c r="E32" s="15"/>
      <c r="F32" s="15"/>
      <c r="G32" s="87" t="str">
        <f>IF(RiderJ&lt;&gt;"Yes","NA",'A - Inputs and Summary'!J44)</f>
        <v>NA</v>
      </c>
      <c r="H32" s="16" t="s">
        <v>47</v>
      </c>
      <c r="I32" s="73" t="str">
        <f>IF(OR(EstimateType="DTS Only",RiderJ&lt;&gt;"Yes"),"NA",I15)</f>
        <v>NA</v>
      </c>
      <c r="J32" s="16" t="str">
        <f>IF(OR(EstimateType="STS Only",RiderF&lt;&gt;"Yes"),"","MWh")</f>
        <v/>
      </c>
      <c r="K32" s="84" t="str">
        <f>IF(OR(EstimateType="DTS Only",RiderJ&lt;&gt;"Yes"),"NA ",G32*I32)</f>
        <v>NA </v>
      </c>
    </row>
    <row r="34" spans="2:11" ht="13" x14ac:dyDescent="0.3">
      <c r="B34" s="6" t="s">
        <v>122</v>
      </c>
      <c r="C34" s="6"/>
      <c r="D34" s="6"/>
      <c r="E34" s="6"/>
      <c r="F34" s="6"/>
      <c r="G34" s="6"/>
      <c r="H34" s="6"/>
      <c r="I34" s="6"/>
      <c r="J34" s="6"/>
      <c r="K34" s="92" t="str">
        <f>IF(EstimateType="DTS Only","NA ",SUM(K26,K29,K32))</f>
        <v>NA </v>
      </c>
    </row>
    <row r="36" spans="2:11" s="151" customFormat="1" ht="14.15" customHeight="1" x14ac:dyDescent="0.2">
      <c r="B36" s="150"/>
      <c r="G36" s="152"/>
      <c r="K36" s="153"/>
    </row>
  </sheetData>
  <mergeCells count="12">
    <mergeCell ref="B31:K31"/>
    <mergeCell ref="I20:J20"/>
    <mergeCell ref="G20:H20"/>
    <mergeCell ref="B20:F20"/>
    <mergeCell ref="B21:K21"/>
    <mergeCell ref="D12:F12"/>
    <mergeCell ref="B28:K28"/>
    <mergeCell ref="B8:K8"/>
    <mergeCell ref="D10:I10"/>
    <mergeCell ref="D11:I11"/>
    <mergeCell ref="I14:J14"/>
    <mergeCell ref="C14:G14"/>
  </mergeCells>
  <phoneticPr fontId="3" type="noConversion"/>
  <dataValidations count="5">
    <dataValidation allowBlank="1" showInputMessage="1" sqref="D12:G12 D10:I11" xr:uid="{00000000-0002-0000-0600-000000000000}"/>
    <dataValidation allowBlank="1" showInputMessage="1" showErrorMessage="1" promptTitle="Reference" prompt="For more information, see the definition of metered energy in the Consolidated Authoritative Documents Glossary." sqref="H15" xr:uid="{00000000-0002-0000-0600-000003000000}"/>
    <dataValidation allowBlank="1" showInputMessage="1" showErrorMessage="1" promptTitle="Reference" prompt="For more information, see the definition of pool price in the Consolidated Authoritative Documents Glossary." sqref="H16" xr:uid="{00000000-0002-0000-0600-000004000000}"/>
    <dataValidation allowBlank="1" showInputMessage="1" showErrorMessage="1" promptTitle="Reference" prompt="For more information, see the definition of loss factor in the Consolidated Authoritative Documents Glossary." sqref="H17" xr:uid="{00000000-0002-0000-0600-000005000000}"/>
    <dataValidation allowBlank="1" showInputMessage="1" showErrorMessage="1" promptTitle="Reference" prompt="For more information, see Appendix A: Regulated Generating Units in the ISO tariff." sqref="H18" xr:uid="{00000000-0002-0000-0600-000006000000}"/>
  </dataValidations>
  <printOptions horizontalCentered="1"/>
  <pageMargins left="0.25" right="0.25" top="0.5" bottom="0.25" header="0.3" footer="0.3"/>
  <pageSetup orientation="portrait" r:id="rId1"/>
  <headerFooter alignWithMargins="0">
    <oddFooter>&amp;L&amp;8Attachment to ISO Tariff - Bill Estimator (AESO ID #2023-015T)
Filename: &amp;F — Page&amp;P of &amp;N&amp;R&amp;8Confidentiality: Proprietary When Completed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topLeftCell="A2" zoomScaleNormal="100" workbookViewId="0">
      <selection activeCell="A25" sqref="A25"/>
    </sheetView>
  </sheetViews>
  <sheetFormatPr defaultRowHeight="13" x14ac:dyDescent="0.3"/>
  <cols>
    <col min="1" max="1" width="40.54296875" bestFit="1" customWidth="1"/>
    <col min="2" max="2" width="37.453125" bestFit="1" customWidth="1"/>
    <col min="3" max="7" width="10.54296875" bestFit="1" customWidth="1"/>
    <col min="8" max="8" width="11.54296875" bestFit="1" customWidth="1"/>
    <col min="9" max="9" width="11.08984375" bestFit="1" customWidth="1"/>
    <col min="10" max="10" width="11.08984375" style="163" bestFit="1" customWidth="1"/>
    <col min="11" max="11" width="11.08984375" bestFit="1" customWidth="1"/>
  </cols>
  <sheetData>
    <row r="1" spans="1:11" ht="14.5" x14ac:dyDescent="0.35">
      <c r="A1" s="127"/>
      <c r="B1" s="127" t="s">
        <v>177</v>
      </c>
      <c r="C1" s="127" t="s">
        <v>178</v>
      </c>
      <c r="D1" s="127" t="s">
        <v>179</v>
      </c>
      <c r="E1" s="127" t="s">
        <v>180</v>
      </c>
      <c r="F1" s="127" t="s">
        <v>181</v>
      </c>
      <c r="G1" s="127" t="s">
        <v>176</v>
      </c>
      <c r="H1" s="127" t="s">
        <v>182</v>
      </c>
      <c r="I1" s="135" t="s">
        <v>199</v>
      </c>
      <c r="J1" s="161" t="s">
        <v>228</v>
      </c>
      <c r="K1" s="135" t="s">
        <v>229</v>
      </c>
    </row>
    <row r="2" spans="1:11" ht="14.5" x14ac:dyDescent="0.35">
      <c r="A2" s="127"/>
      <c r="B2" s="127" t="s">
        <v>183</v>
      </c>
      <c r="C2" s="128">
        <v>42370</v>
      </c>
      <c r="D2" s="128">
        <v>42461</v>
      </c>
      <c r="E2" s="128">
        <v>42736</v>
      </c>
      <c r="F2" s="128">
        <v>43101</v>
      </c>
      <c r="G2" s="128">
        <v>43466</v>
      </c>
      <c r="H2" s="154">
        <v>43922</v>
      </c>
      <c r="I2" s="154">
        <v>44197</v>
      </c>
      <c r="J2" s="162">
        <v>44562</v>
      </c>
      <c r="K2" s="162">
        <v>44927</v>
      </c>
    </row>
    <row r="3" spans="1:11" ht="14.5" x14ac:dyDescent="0.35">
      <c r="A3" s="127"/>
      <c r="B3" s="127" t="s">
        <v>184</v>
      </c>
      <c r="C3" s="128">
        <v>42460</v>
      </c>
      <c r="D3" s="128">
        <v>42735</v>
      </c>
      <c r="E3" s="128">
        <v>43100</v>
      </c>
      <c r="F3" s="128">
        <v>43465</v>
      </c>
      <c r="G3" s="128">
        <v>43921</v>
      </c>
      <c r="H3" s="154">
        <v>44196</v>
      </c>
      <c r="I3" s="159">
        <v>44561</v>
      </c>
      <c r="J3" s="165">
        <v>44926</v>
      </c>
      <c r="K3" s="165" t="s">
        <v>230</v>
      </c>
    </row>
    <row r="4" spans="1:11" ht="14.5" x14ac:dyDescent="0.35">
      <c r="A4" s="127" t="s">
        <v>28</v>
      </c>
      <c r="B4" s="127" t="s">
        <v>29</v>
      </c>
      <c r="C4" s="129">
        <v>9305</v>
      </c>
      <c r="D4" s="129">
        <v>10175</v>
      </c>
      <c r="E4" s="129">
        <v>10670</v>
      </c>
      <c r="F4" s="129">
        <v>10177</v>
      </c>
      <c r="G4" s="129">
        <v>10524</v>
      </c>
      <c r="H4" s="129">
        <v>10814</v>
      </c>
      <c r="I4" s="129">
        <v>11085</v>
      </c>
      <c r="J4" s="164">
        <v>10501</v>
      </c>
      <c r="K4" s="166">
        <v>10840</v>
      </c>
    </row>
    <row r="5" spans="1:11" ht="14.5" x14ac:dyDescent="0.35">
      <c r="A5" s="127" t="s">
        <v>28</v>
      </c>
      <c r="B5" s="127" t="s">
        <v>185</v>
      </c>
      <c r="C5" s="129">
        <v>1.0900000000000001</v>
      </c>
      <c r="D5" s="129">
        <v>1.17</v>
      </c>
      <c r="E5" s="129">
        <v>1.25</v>
      </c>
      <c r="F5" s="129">
        <v>1.2</v>
      </c>
      <c r="G5" s="129">
        <v>1.26</v>
      </c>
      <c r="H5" s="129">
        <v>1.1299999999999999</v>
      </c>
      <c r="I5" s="129">
        <v>1.22</v>
      </c>
      <c r="J5" s="164">
        <v>1.1499999999999999</v>
      </c>
      <c r="K5" s="166">
        <v>1.18</v>
      </c>
    </row>
    <row r="6" spans="1:11" ht="14.5" x14ac:dyDescent="0.35">
      <c r="A6" s="127" t="s">
        <v>147</v>
      </c>
      <c r="B6" s="127" t="s">
        <v>31</v>
      </c>
      <c r="C6" s="129">
        <v>2162</v>
      </c>
      <c r="D6" s="129">
        <v>2333</v>
      </c>
      <c r="E6" s="129">
        <v>2356</v>
      </c>
      <c r="F6" s="129">
        <v>2281</v>
      </c>
      <c r="G6" s="129">
        <v>2359</v>
      </c>
      <c r="H6" s="129">
        <v>2799</v>
      </c>
      <c r="I6" s="129">
        <v>2893</v>
      </c>
      <c r="J6" s="164">
        <v>2775</v>
      </c>
      <c r="K6" s="166">
        <v>2844</v>
      </c>
    </row>
    <row r="7" spans="1:11" ht="14.5" x14ac:dyDescent="0.35">
      <c r="A7" s="127" t="s">
        <v>147</v>
      </c>
      <c r="B7" s="127" t="s">
        <v>186</v>
      </c>
      <c r="C7" s="129">
        <v>0.76</v>
      </c>
      <c r="D7" s="129">
        <v>0.81</v>
      </c>
      <c r="E7" s="129">
        <v>0.87</v>
      </c>
      <c r="F7" s="129">
        <v>0.84</v>
      </c>
      <c r="G7" s="129">
        <v>0.87</v>
      </c>
      <c r="H7" s="129">
        <v>0.86</v>
      </c>
      <c r="I7" s="129">
        <v>0.93</v>
      </c>
      <c r="J7" s="164">
        <v>0.87</v>
      </c>
      <c r="K7" s="166">
        <v>0.9</v>
      </c>
    </row>
    <row r="8" spans="1:11" ht="14.5" x14ac:dyDescent="0.35">
      <c r="A8" s="127" t="s">
        <v>187</v>
      </c>
      <c r="B8" s="127" t="s">
        <v>188</v>
      </c>
      <c r="C8" s="129">
        <v>7865</v>
      </c>
      <c r="D8" s="129">
        <v>8604</v>
      </c>
      <c r="E8" s="129">
        <v>8789</v>
      </c>
      <c r="F8" s="129">
        <v>8635</v>
      </c>
      <c r="G8" s="129">
        <v>9062</v>
      </c>
      <c r="H8" s="129">
        <v>14291</v>
      </c>
      <c r="I8" s="129">
        <v>14860</v>
      </c>
      <c r="J8" s="164">
        <v>14332</v>
      </c>
      <c r="K8" s="166">
        <v>14728</v>
      </c>
    </row>
    <row r="9" spans="1:11" ht="14.5" x14ac:dyDescent="0.35">
      <c r="A9" s="127" t="s">
        <v>187</v>
      </c>
      <c r="B9" s="127" t="s">
        <v>189</v>
      </c>
      <c r="C9" s="129">
        <v>3184</v>
      </c>
      <c r="D9" s="129">
        <v>3484</v>
      </c>
      <c r="E9" s="129">
        <v>3559</v>
      </c>
      <c r="F9" s="129">
        <v>3496</v>
      </c>
      <c r="G9" s="129">
        <v>3669</v>
      </c>
      <c r="H9" s="129">
        <v>4703</v>
      </c>
      <c r="I9" s="129">
        <v>4891</v>
      </c>
      <c r="J9" s="164">
        <v>4717</v>
      </c>
      <c r="K9" s="166">
        <v>4847</v>
      </c>
    </row>
    <row r="10" spans="1:11" ht="14.5" x14ac:dyDescent="0.35">
      <c r="A10" s="127" t="s">
        <v>187</v>
      </c>
      <c r="B10" s="127" t="s">
        <v>190</v>
      </c>
      <c r="C10" s="129">
        <v>1994</v>
      </c>
      <c r="D10" s="129">
        <v>2182</v>
      </c>
      <c r="E10" s="129">
        <v>2229</v>
      </c>
      <c r="F10" s="129">
        <v>2190</v>
      </c>
      <c r="G10" s="129">
        <v>2298</v>
      </c>
      <c r="H10" s="129">
        <v>2789</v>
      </c>
      <c r="I10" s="129">
        <v>2900</v>
      </c>
      <c r="J10" s="164">
        <v>2797</v>
      </c>
      <c r="K10" s="166">
        <v>2875</v>
      </c>
    </row>
    <row r="11" spans="1:11" ht="14.5" x14ac:dyDescent="0.35">
      <c r="A11" s="127" t="s">
        <v>187</v>
      </c>
      <c r="B11" s="127" t="s">
        <v>191</v>
      </c>
      <c r="C11" s="129">
        <v>1391</v>
      </c>
      <c r="D11" s="129">
        <v>1522</v>
      </c>
      <c r="E11" s="129">
        <v>1555</v>
      </c>
      <c r="F11" s="129">
        <v>1527</v>
      </c>
      <c r="G11" s="129">
        <v>1603</v>
      </c>
      <c r="H11" s="129">
        <v>1867</v>
      </c>
      <c r="I11" s="129">
        <v>1942</v>
      </c>
      <c r="J11" s="164">
        <v>1873</v>
      </c>
      <c r="K11" s="166">
        <v>1924</v>
      </c>
    </row>
    <row r="12" spans="1:11" ht="14.5" x14ac:dyDescent="0.35">
      <c r="A12" s="127" t="s">
        <v>187</v>
      </c>
      <c r="B12" s="127" t="s">
        <v>192</v>
      </c>
      <c r="C12" s="129">
        <v>901</v>
      </c>
      <c r="D12" s="129">
        <v>986</v>
      </c>
      <c r="E12" s="129">
        <v>1007</v>
      </c>
      <c r="F12" s="129">
        <v>989</v>
      </c>
      <c r="G12" s="129">
        <v>1038</v>
      </c>
      <c r="H12" s="129">
        <v>1150</v>
      </c>
      <c r="I12" s="129">
        <v>1195</v>
      </c>
      <c r="J12" s="164">
        <v>1153</v>
      </c>
      <c r="K12" s="166">
        <v>1185</v>
      </c>
    </row>
    <row r="13" spans="1:11" ht="14.5" x14ac:dyDescent="0.35">
      <c r="A13" s="127" t="s">
        <v>193</v>
      </c>
      <c r="B13" s="127" t="s">
        <v>188</v>
      </c>
      <c r="C13" s="129">
        <v>-6213</v>
      </c>
      <c r="D13" s="129">
        <v>-6797</v>
      </c>
      <c r="E13" s="129">
        <v>-6943</v>
      </c>
      <c r="F13" s="129">
        <v>-6822</v>
      </c>
      <c r="G13" s="129">
        <v>-7159</v>
      </c>
      <c r="H13" s="129">
        <v>-11290</v>
      </c>
      <c r="I13" s="129">
        <v>-11739</v>
      </c>
      <c r="J13" s="164">
        <v>-11322</v>
      </c>
      <c r="K13" s="166">
        <v>-11635</v>
      </c>
    </row>
    <row r="14" spans="1:11" ht="14.5" x14ac:dyDescent="0.35">
      <c r="A14" s="127" t="s">
        <v>193</v>
      </c>
      <c r="B14" s="127" t="s">
        <v>189</v>
      </c>
      <c r="C14" s="129">
        <v>-2515</v>
      </c>
      <c r="D14" s="129">
        <v>-2752</v>
      </c>
      <c r="E14" s="129">
        <v>-2812</v>
      </c>
      <c r="F14" s="129">
        <v>-2762</v>
      </c>
      <c r="G14" s="129">
        <v>-2899</v>
      </c>
      <c r="H14" s="129">
        <v>-3715</v>
      </c>
      <c r="I14" s="129">
        <v>-3864</v>
      </c>
      <c r="J14" s="164">
        <v>-3726</v>
      </c>
      <c r="K14" s="166">
        <v>-3829</v>
      </c>
    </row>
    <row r="15" spans="1:11" ht="14.5" x14ac:dyDescent="0.35">
      <c r="A15" s="127" t="s">
        <v>193</v>
      </c>
      <c r="B15" s="127" t="s">
        <v>190</v>
      </c>
      <c r="C15" s="129">
        <v>-1575</v>
      </c>
      <c r="D15" s="129">
        <v>-1724</v>
      </c>
      <c r="E15" s="129">
        <v>-1761</v>
      </c>
      <c r="F15" s="129">
        <v>-1730</v>
      </c>
      <c r="G15" s="129">
        <v>-1815</v>
      </c>
      <c r="H15" s="129">
        <v>-2203</v>
      </c>
      <c r="I15" s="129">
        <v>-2291</v>
      </c>
      <c r="J15" s="164">
        <v>-2210</v>
      </c>
      <c r="K15" s="166">
        <v>-2271</v>
      </c>
    </row>
    <row r="16" spans="1:11" ht="14.5" x14ac:dyDescent="0.35">
      <c r="A16" s="127" t="s">
        <v>193</v>
      </c>
      <c r="B16" s="127" t="s">
        <v>191</v>
      </c>
      <c r="C16" s="129">
        <v>-1099</v>
      </c>
      <c r="D16" s="129">
        <v>-1202</v>
      </c>
      <c r="E16" s="129">
        <v>-1228</v>
      </c>
      <c r="F16" s="129">
        <v>-1206</v>
      </c>
      <c r="G16" s="129">
        <v>-1266</v>
      </c>
      <c r="H16" s="129">
        <v>-1475</v>
      </c>
      <c r="I16" s="129">
        <v>-1534</v>
      </c>
      <c r="J16" s="164">
        <v>-1480</v>
      </c>
      <c r="K16" s="166">
        <v>-1520</v>
      </c>
    </row>
    <row r="17" spans="1:11" ht="14.5" x14ac:dyDescent="0.35">
      <c r="A17" s="127" t="s">
        <v>193</v>
      </c>
      <c r="B17" s="127" t="s">
        <v>192</v>
      </c>
      <c r="C17" s="129">
        <v>-901</v>
      </c>
      <c r="D17" s="129">
        <v>-986</v>
      </c>
      <c r="E17" s="129">
        <v>-1007</v>
      </c>
      <c r="F17" s="129">
        <v>-989</v>
      </c>
      <c r="G17" s="129">
        <v>-1038</v>
      </c>
      <c r="H17" s="129">
        <v>-1150</v>
      </c>
      <c r="I17" s="129">
        <v>-1195</v>
      </c>
      <c r="J17" s="164">
        <v>-1153</v>
      </c>
      <c r="K17" s="166">
        <v>-1185</v>
      </c>
    </row>
    <row r="18" spans="1:11" ht="14.5" x14ac:dyDescent="0.35">
      <c r="A18" s="127" t="s">
        <v>194</v>
      </c>
      <c r="B18" s="127" t="s">
        <v>65</v>
      </c>
      <c r="C18" s="129">
        <v>41.49</v>
      </c>
      <c r="D18" s="129">
        <v>40.99</v>
      </c>
      <c r="E18" s="129">
        <v>31.82</v>
      </c>
      <c r="F18" s="129">
        <v>42.58</v>
      </c>
      <c r="G18" s="129">
        <v>57.52</v>
      </c>
      <c r="H18" s="129">
        <v>57.81</v>
      </c>
      <c r="I18" s="129">
        <v>53.93</v>
      </c>
      <c r="J18" s="129">
        <v>74.010000000000005</v>
      </c>
      <c r="K18" s="166">
        <v>94.34</v>
      </c>
    </row>
    <row r="19" spans="1:11" ht="14.5" x14ac:dyDescent="0.35">
      <c r="A19" s="127" t="s">
        <v>194</v>
      </c>
      <c r="B19" s="127" t="s">
        <v>195</v>
      </c>
      <c r="C19" s="130">
        <v>6.4100000000000004E-2</v>
      </c>
      <c r="D19" s="131">
        <v>6.6600000000000006E-2</v>
      </c>
      <c r="E19" s="131">
        <v>6.9900000000000004E-2</v>
      </c>
      <c r="F19" s="131">
        <v>6.4399999999999999E-2</v>
      </c>
      <c r="G19" s="131">
        <v>8.5000000000000006E-2</v>
      </c>
      <c r="H19" s="131">
        <v>7.1300000000000002E-2</v>
      </c>
      <c r="I19" s="131">
        <v>6.1899999999999997E-2</v>
      </c>
      <c r="J19" s="131">
        <v>4.53E-2</v>
      </c>
      <c r="K19" s="167">
        <v>5.1799999999999999E-2</v>
      </c>
    </row>
    <row r="20" spans="1:11" ht="14.5" x14ac:dyDescent="0.35">
      <c r="A20" s="127" t="s">
        <v>196</v>
      </c>
      <c r="B20" s="160" t="s">
        <v>30</v>
      </c>
      <c r="C20" s="129">
        <v>0</v>
      </c>
      <c r="D20" s="129">
        <v>0.06</v>
      </c>
      <c r="E20" s="129">
        <v>7.0000000000000007E-2</v>
      </c>
      <c r="F20" s="132">
        <v>2E-3</v>
      </c>
      <c r="G20" s="132">
        <v>2E-3</v>
      </c>
      <c r="H20" s="133">
        <v>2E-3</v>
      </c>
      <c r="I20" s="133">
        <v>2E-3</v>
      </c>
      <c r="J20" s="133">
        <v>1.7000000000000001E-2</v>
      </c>
      <c r="K20" s="166">
        <v>1.7000000000000001E-2</v>
      </c>
    </row>
    <row r="21" spans="1:11" ht="14.5" x14ac:dyDescent="0.35">
      <c r="A21" s="127" t="s">
        <v>38</v>
      </c>
      <c r="B21" s="127" t="s">
        <v>30</v>
      </c>
      <c r="C21" s="129">
        <v>0.05</v>
      </c>
      <c r="D21" s="129">
        <v>0.06</v>
      </c>
      <c r="E21" s="129">
        <v>7.0000000000000007E-2</v>
      </c>
      <c r="F21" s="129">
        <v>0.09</v>
      </c>
      <c r="G21" s="129">
        <v>0.05</v>
      </c>
      <c r="H21" s="129">
        <v>0.05</v>
      </c>
      <c r="I21" s="129">
        <v>0.01</v>
      </c>
      <c r="J21" s="164">
        <v>0.08</v>
      </c>
      <c r="K21" s="166">
        <v>0.09</v>
      </c>
    </row>
    <row r="22" spans="1:11" ht="14.5" x14ac:dyDescent="0.35">
      <c r="A22" s="127" t="s">
        <v>39</v>
      </c>
      <c r="B22" s="127" t="s">
        <v>51</v>
      </c>
      <c r="C22" s="129">
        <v>41</v>
      </c>
      <c r="D22" s="129">
        <v>46</v>
      </c>
      <c r="E22" s="129">
        <v>46</v>
      </c>
      <c r="F22" s="129">
        <v>46</v>
      </c>
      <c r="G22" s="129">
        <v>36</v>
      </c>
      <c r="H22" s="129">
        <v>24</v>
      </c>
      <c r="I22" s="129">
        <v>25</v>
      </c>
      <c r="J22" s="164">
        <v>24</v>
      </c>
      <c r="K22" s="166">
        <v>24</v>
      </c>
    </row>
    <row r="23" spans="1:11" ht="14.5" x14ac:dyDescent="0.35">
      <c r="A23" s="127" t="s">
        <v>39</v>
      </c>
      <c r="B23" t="s">
        <v>115</v>
      </c>
      <c r="C23" s="129">
        <v>149</v>
      </c>
      <c r="D23" s="129">
        <v>122</v>
      </c>
      <c r="E23" s="129">
        <v>95</v>
      </c>
      <c r="F23" s="129">
        <v>75</v>
      </c>
      <c r="G23" s="129">
        <v>45</v>
      </c>
      <c r="H23" s="129">
        <v>15</v>
      </c>
      <c r="I23" s="129">
        <v>0</v>
      </c>
      <c r="J23" s="164">
        <v>0</v>
      </c>
      <c r="K23" s="166">
        <v>0</v>
      </c>
    </row>
    <row r="24" spans="1:11" ht="14.5" x14ac:dyDescent="0.35">
      <c r="A24" s="127" t="s">
        <v>39</v>
      </c>
      <c r="B24" s="135" t="s">
        <v>197</v>
      </c>
      <c r="C24" s="129">
        <v>400</v>
      </c>
      <c r="D24" s="129">
        <v>400</v>
      </c>
      <c r="E24" s="129">
        <v>400</v>
      </c>
      <c r="F24" s="129">
        <v>400</v>
      </c>
      <c r="G24" s="129">
        <v>400</v>
      </c>
      <c r="H24" s="129">
        <v>400</v>
      </c>
      <c r="I24" s="129">
        <v>400</v>
      </c>
      <c r="J24" s="164">
        <v>400</v>
      </c>
      <c r="K24" s="166">
        <v>400</v>
      </c>
    </row>
    <row r="25" spans="1:11" ht="14.5" x14ac:dyDescent="0.35">
      <c r="A25" s="135" t="s">
        <v>198</v>
      </c>
      <c r="B25" s="135" t="s">
        <v>198</v>
      </c>
      <c r="C25" s="129">
        <v>-3.25</v>
      </c>
      <c r="D25" s="129">
        <v>-3.25</v>
      </c>
      <c r="E25" s="129">
        <v>1.1000000000000001</v>
      </c>
      <c r="F25" s="129">
        <v>3.1</v>
      </c>
      <c r="G25" s="129">
        <v>2.9</v>
      </c>
      <c r="H25" s="129">
        <v>2.5</v>
      </c>
      <c r="I25" s="129">
        <v>2.2999999999999998</v>
      </c>
      <c r="J25" s="164">
        <v>2.2000000000000002</v>
      </c>
      <c r="K25" s="166">
        <v>2.2000000000000002</v>
      </c>
    </row>
  </sheetData>
  <phoneticPr fontId="23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A - Inputs and Summary</vt:lpstr>
      <vt:lpstr>B - Rate DTS and Riders</vt:lpstr>
      <vt:lpstr>C - Rate PSC and Rider</vt:lpstr>
      <vt:lpstr>D - Rate STS and Riders</vt:lpstr>
      <vt:lpstr>Lookup</vt:lpstr>
      <vt:lpstr>AccountID</vt:lpstr>
      <vt:lpstr>AESOTariff</vt:lpstr>
      <vt:lpstr>EstimateType</vt:lpstr>
      <vt:lpstr>OtherParticipant</vt:lpstr>
      <vt:lpstr>ParticipantName</vt:lpstr>
      <vt:lpstr>PreparationDate</vt:lpstr>
      <vt:lpstr>PrimaryServiceCredit</vt:lpstr>
      <vt:lpstr>'A - Inputs and Summary'!Print_Area</vt:lpstr>
      <vt:lpstr>'B - Rate DTS and Riders'!Print_Area</vt:lpstr>
      <vt:lpstr>'C - Rate PSC and Rider'!Print_Area</vt:lpstr>
      <vt:lpstr>'D - Rate STS and Riders'!Print_Area</vt:lpstr>
      <vt:lpstr>ReceivePSC</vt:lpstr>
      <vt:lpstr>RegulatedGeneratingUnit</vt:lpstr>
      <vt:lpstr>RiderC</vt:lpstr>
      <vt:lpstr>RiderE</vt:lpstr>
      <vt:lpstr>RiderF</vt:lpstr>
      <vt:lpstr>RiderJ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2023-09-08T20:53:51Z</dcterms:created>
  <dcterms:modified xsi:type="dcterms:W3CDTF">2023-09-08T20:53:54Z</dcterms:modified>
</cp:coreProperties>
</file>